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. Setup" state="visible" r:id="rId4"/>
    <sheet sheetId="2" name="2. Fee register" state="visible" r:id="rId5"/>
    <sheet sheetId="3" name="3. Defaulter list" state="visible" r:id="rId6"/>
    <sheet sheetId="4" name="4. Reminder letter" state="visible" r:id="rId7"/>
  </sheets>
  <definedNames>
    <definedName name="_xlnm.Print_Area" localSheetId="3">'4. Reminder letter'!$A1:$D24</definedName>
  </definedNames>
  <calcPr calcId="171027" fullCalcOnLoad="1"/>
</workbook>
</file>

<file path=xl/sharedStrings.xml><?xml version="1.0" encoding="utf-8"?>
<sst xmlns="http://schemas.openxmlformats.org/spreadsheetml/2006/main" count="93" uniqueCount="83">
  <si>
    <t>Fee defaulter list: set up once, then fill in sheet 2 each month</t>
  </si>
  <si>
    <t>Yellow cells are yours to change. Sample values show how it works.</t>
  </si>
  <si>
    <t>School name</t>
  </si>
  <si>
    <t>Your School Name</t>
  </si>
  <si>
    <t>Address and phone</t>
  </si>
  <si>
    <t>Street, City · 0300 0000000</t>
  </si>
  <si>
    <t>Fee month</t>
  </si>
  <si>
    <t>October 2026</t>
  </si>
  <si>
    <t>Please pay by</t>
  </si>
  <si>
    <t>Office hours</t>
  </si>
  <si>
    <t>8:00 am to 1:00 pm</t>
  </si>
  <si>
    <t>Signed by</t>
  </si>
  <si>
    <t>Accounts Office</t>
  </si>
  <si>
    <t>Okulium keeps this list for you from every challan and payment, and parents see their dues in the app: okulium.pk</t>
  </si>
  <si>
    <t>Fill in the yellow cells. Balance and status work themselves out; sheet 3 lists everyone who still owes, largest balance first.</t>
  </si>
  <si>
    <t>Roll no.</t>
  </si>
  <si>
    <t>Student name</t>
  </si>
  <si>
    <t>Father's name</t>
  </si>
  <si>
    <t>Class</t>
  </si>
  <si>
    <t>Parent phone</t>
  </si>
  <si>
    <t>Monthly fee</t>
  </si>
  <si>
    <t>Previous dues</t>
  </si>
  <si>
    <t>Late fee</t>
  </si>
  <si>
    <t>Paid this month</t>
  </si>
  <si>
    <t>Balance</t>
  </si>
  <si>
    <t>Status</t>
  </si>
  <si>
    <t>Last reminder</t>
  </si>
  <si>
    <t>Notes</t>
  </si>
  <si>
    <t>sort key</t>
  </si>
  <si>
    <t>rank</t>
  </si>
  <si>
    <t>Ayesha Khan</t>
  </si>
  <si>
    <t>Imran Khan</t>
  </si>
  <si>
    <t>Grade 6 A</t>
  </si>
  <si>
    <t>0300 1111111</t>
  </si>
  <si>
    <t>Hamza Ali</t>
  </si>
  <si>
    <t>Raza Ali</t>
  </si>
  <si>
    <t>0301 2222222</t>
  </si>
  <si>
    <t>Promised to pay on 20th</t>
  </si>
  <si>
    <t>Fatima Noor</t>
  </si>
  <si>
    <t>Noor Muhammad</t>
  </si>
  <si>
    <t>Grade 6 B</t>
  </si>
  <si>
    <t>0302 3333333</t>
  </si>
  <si>
    <t>Paying in two parts</t>
  </si>
  <si>
    <t>Usman Tariq</t>
  </si>
  <si>
    <t>Tariq Mehmood</t>
  </si>
  <si>
    <t>Grade 7 A</t>
  </si>
  <si>
    <t>0303 4444444</t>
  </si>
  <si>
    <t>Meeting with accounts office</t>
  </si>
  <si>
    <t>Zainab Sheikh</t>
  </si>
  <si>
    <t>Kamran Sheikh</t>
  </si>
  <si>
    <t>0304 5555555</t>
  </si>
  <si>
    <t>Bilal Ahmed</t>
  </si>
  <si>
    <t>Tariq Ahmed</t>
  </si>
  <si>
    <t>Grade 7 B</t>
  </si>
  <si>
    <t>0305 6666666</t>
  </si>
  <si>
    <t>Hira Aslam</t>
  </si>
  <si>
    <t>Muhammad Aslam</t>
  </si>
  <si>
    <t>Grade 8 A</t>
  </si>
  <si>
    <t>0306 7777777</t>
  </si>
  <si>
    <t>Ali Raza</t>
  </si>
  <si>
    <t>Raza Hussain</t>
  </si>
  <si>
    <t>0307 8888888</t>
  </si>
  <si>
    <t>Paid old dues; October still due</t>
  </si>
  <si>
    <t>Sana Iqbal</t>
  </si>
  <si>
    <t>Iqbal Ahmed</t>
  </si>
  <si>
    <t>Grade 8 B</t>
  </si>
  <si>
    <t>0308 9999999</t>
  </si>
  <si>
    <t>Omar Farooq</t>
  </si>
  <si>
    <t>Farooq Ali</t>
  </si>
  <si>
    <t>0309 1010101</t>
  </si>
  <si>
    <t>Total still to collect</t>
  </si>
  <si>
    <t>Students who owe</t>
  </si>
  <si>
    <t>Students on the register</t>
  </si>
  <si>
    <t>Collected this month</t>
  </si>
  <si>
    <t>Collection rate</t>
  </si>
  <si>
    <t>#</t>
  </si>
  <si>
    <t>Student</t>
  </si>
  <si>
    <t>Balance (Rs)</t>
  </si>
  <si>
    <t>Roll no. (type one) →</t>
  </si>
  <si>
    <t>FEE REMINDER</t>
  </si>
  <si>
    <t>If you need more time, please meet the accounts office so we can agree a payment plan with you.</t>
  </si>
  <si>
    <t>Thank you for your support.</t>
  </si>
  <si>
    <t>Free fee reminder format from okulium.pk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</si>
</sst>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 mmm yyyy"/>
  </numFmts>
  <fonts count="19" x14ac:knownFonts="1">
    <font>
      <color theme="1"/>
      <family val="2"/>
      <scheme val="minor"/>
      <sz val="11"/>
      <name val="Calibri"/>
    </font>
    <font>
      <b/>
      <sz val="13"/>
    </font>
    <font>
      <i/>
      <color rgb="FF555555"/>
    </font>
    <font>
      <b/>
    </font>
    <font>
      <color rgb="FF0076A3"/>
    </font>
    <font>
      <b/>
      <color rgb="FFFFFFFF"/>
      <sz val="9"/>
    </font>
    <font>
      <b/>
      <sz val="14"/>
    </font>
    <font>
      <b/>
      <color rgb="FF555555"/>
    </font>
    <font>
      <b/>
      <sz val="12"/>
    </font>
    <font>
      <b/>
      <sz val="16"/>
    </font>
    <font>
      <color rgb="FFFFFFFF"/>
    </font>
    <font>
      <color rgb="FF555555"/>
      <sz val="9"/>
    </font>
    <font>
      <b/>
      <color rgb="FF0076A3"/>
      <sz val="9"/>
    </font>
    <font>
      <color rgb="FFC2410C"/>
      <sz val="9"/>
    </font>
    <font>
      <b/>
      <color rgb="FFFFFFFF"/>
      <sz val="12"/>
    </font>
    <font>
      <sz val="11"/>
    </font>
    <font>
      <b/>
      <sz val="11"/>
    </font>
    <font>
      <color rgb="FF555555"/>
      <sz val="11"/>
    </font>
    <font>
      <color rgb="FF888888"/>
      <sz val="8"/>
    </font>
  </fonts>
  <fills count="4">
    <fill>
      <patternFill patternType="none"/>
    </fill>
    <fill>
      <patternFill patternType="gray125"/>
    </fill>
    <fill>
      <patternFill patternType="solid">
        <fgColor rgb="FFFFF8DC"/>
      </patternFill>
    </fill>
    <fill>
      <patternFill patternType="solid">
        <fgColor rgb="FF0B4F6C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/>
      <bottom style="hair">
        <color rgb="FFCCCCC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/>
    <xf numFmtId="164" fontId="0" fillId="2" borderId="1" xfId="0" applyNumberFormat="1" applyFill="1" applyBorder="1"/>
    <xf numFmtId="0" fontId="4" fillId="0" borderId="0" xfId="0" applyFont="1"/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3" fontId="0" fillId="2" borderId="1" xfId="0" applyNumberFormat="1" applyFill="1" applyBorder="1"/>
    <xf numFmtId="3" fontId="3" fillId="0" borderId="1" xfId="0" applyNumberFormat="1" applyFont="1" applyBorder="1"/>
    <xf numFmtId="0" fontId="0" fillId="0" borderId="1" xfId="0" applyBorder="1" applyAlignment="1">
      <alignment horizontal="center"/>
    </xf>
    <xf numFmtId="0" fontId="6" fillId="0" borderId="0" xfId="0" applyFont="1"/>
    <xf numFmtId="0" fontId="7" fillId="0" borderId="0" xfId="0" applyFont="1"/>
    <xf numFmtId="3" fontId="8" fillId="0" borderId="1" xfId="0" applyNumberFormat="1" applyFont="1" applyBorder="1"/>
    <xf numFmtId="1" fontId="8" fillId="0" borderId="1" xfId="0" applyNumberFormat="1" applyFont="1" applyBorder="1"/>
    <xf numFmtId="9" fontId="8" fillId="0" borderId="1" xfId="0" applyNumberFormat="1" applyFont="1" applyBorder="1"/>
    <xf numFmtId="0" fontId="5" fillId="3" borderId="1" xfId="0" applyFont="1" applyFill="1" applyBorder="1"/>
    <xf numFmtId="0" fontId="0" fillId="0" borderId="2" xfId="0" applyBorder="1"/>
    <xf numFmtId="3" fontId="0" fillId="0" borderId="2" xfId="0" applyNumberFormat="1" applyBorder="1"/>
    <xf numFmtId="164" fontId="0" fillId="0" borderId="2" xfId="0" applyNumberFormat="1" applyBorder="1"/>
    <xf numFmtId="0" fontId="9" fillId="0" borderId="0" xfId="0" applyFont="1" applyAlignment="1">
      <alignment horizontal="center" vertical="top" wrapText="1"/>
    </xf>
    <xf numFmtId="0" fontId="10" fillId="0" borderId="0" xfId="0" applyFont="1"/>
    <xf numFmtId="0" fontId="11" fillId="0" borderId="0" xfId="0" applyFont="1" applyAlignment="1">
      <alignment horizontal="center" vertical="top" wrapText="1"/>
    </xf>
    <xf numFmtId="0" fontId="12" fillId="0" borderId="0" xfId="0" applyFont="1"/>
    <xf numFmtId="0" fontId="13" fillId="0" borderId="0" xfId="0" applyFont="1"/>
    <xf numFmtId="0" fontId="14" fillId="3" borderId="0" xfId="0" applyFont="1" applyFill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6A3"/>
  </sheetPr>
  <dimension ref="A1:B11"/>
  <sheetFormatPr defaultRowHeight="15" outlineLevelRow="0" outlineLevelCol="0" x14ac:dyDescent="55"/>
  <cols>
    <col min="1" max="1" width="32" customWidth="1"/>
    <col min="2" max="2" width="40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4" t="s">
        <v>5</v>
      </c>
    </row>
    <row r="6" spans="1:2" x14ac:dyDescent="0.25">
      <c r="A6" s="3" t="s">
        <v>6</v>
      </c>
      <c r="B6" s="4" t="s">
        <v>7</v>
      </c>
    </row>
    <row r="7" spans="1:2" x14ac:dyDescent="0.25">
      <c r="A7" s="3" t="s">
        <v>8</v>
      </c>
      <c r="B7" s="5">
        <v>46320</v>
      </c>
    </row>
    <row r="8" spans="1:2" x14ac:dyDescent="0.25">
      <c r="A8" s="3" t="s">
        <v>9</v>
      </c>
      <c r="B8" s="4" t="s">
        <v>10</v>
      </c>
    </row>
    <row r="9" spans="1:2" x14ac:dyDescent="0.25">
      <c r="A9" s="3" t="s">
        <v>11</v>
      </c>
      <c r="B9" s="4" t="s">
        <v>12</v>
      </c>
    </row>
    <row r="11" spans="1:1" s="6" customFormat="1" x14ac:dyDescent="0.25">
      <c r="A11" s="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3"/>
  <sheetViews>
    <sheetView workbookViewId="0" showGridLines="0">
      <pane xSplit="2" ySplit="3" topLeftCell="C4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2" width="22" customWidth="1"/>
    <col min="3" max="3" width="20" customWidth="1"/>
    <col min="4" max="4" width="12" customWidth="1"/>
    <col min="5" max="5" width="15" customWidth="1"/>
    <col min="6" max="7" width="12" customWidth="1"/>
    <col min="8" max="8" width="10" customWidth="1"/>
    <col min="9" max="10" width="12" customWidth="1"/>
    <col min="11" max="11" width="11" customWidth="1"/>
    <col min="12" max="12" width="14" customWidth="1"/>
    <col min="13" max="13" width="30" customWidth="1"/>
    <col min="14" max="14" width="10" hidden="1" customWidth="1"/>
    <col min="15" max="15" width="8" hidden="1" customWidth="1"/>
  </cols>
  <sheetData>
    <row r="1" spans="1:13" x14ac:dyDescent="0.25">
      <c r="A1" s="1">
        <f>'1. Setup'!$B$4&amp;" · fee register for "&amp;'1. Setup'!$B$6</f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0" customHeight="1" spans="1:15" x14ac:dyDescent="0.25">
      <c r="A3" s="7" t="s">
        <v>15</v>
      </c>
      <c r="B3" s="7" t="s">
        <v>16</v>
      </c>
      <c r="C3" s="7" t="s">
        <v>17</v>
      </c>
      <c r="D3" s="7" t="s">
        <v>18</v>
      </c>
      <c r="E3" s="7" t="s">
        <v>19</v>
      </c>
      <c r="F3" s="8" t="s">
        <v>20</v>
      </c>
      <c r="G3" s="8" t="s">
        <v>21</v>
      </c>
      <c r="H3" s="8" t="s">
        <v>22</v>
      </c>
      <c r="I3" s="8" t="s">
        <v>23</v>
      </c>
      <c r="J3" s="8" t="s">
        <v>24</v>
      </c>
      <c r="K3" s="8" t="s">
        <v>25</v>
      </c>
      <c r="L3" s="8" t="s">
        <v>26</v>
      </c>
      <c r="M3" s="7" t="s">
        <v>27</v>
      </c>
      <c r="N3" s="7" t="s">
        <v>28</v>
      </c>
      <c r="O3" s="7" t="s">
        <v>29</v>
      </c>
    </row>
    <row r="4" spans="1:15" x14ac:dyDescent="0.25">
      <c r="A4" s="4">
        <v>1</v>
      </c>
      <c r="B4" s="4" t="s">
        <v>30</v>
      </c>
      <c r="C4" s="4" t="s">
        <v>31</v>
      </c>
      <c r="D4" s="4" t="s">
        <v>32</v>
      </c>
      <c r="E4" s="4" t="s">
        <v>33</v>
      </c>
      <c r="F4" s="9">
        <v>8500</v>
      </c>
      <c r="G4" s="9">
        <v>0</v>
      </c>
      <c r="H4" s="9">
        <v>0</v>
      </c>
      <c r="I4" s="9">
        <v>8500</v>
      </c>
      <c r="J4" s="10">
        <f>IF($B4="","",F4+G4+H4-I4)</f>
      </c>
      <c r="K4" s="11">
        <f>IF($B4="","",IF(J4&lt;=0,"Paid",IF(I4&gt;0,"Part paid","Unpaid")))</f>
      </c>
      <c r="L4" s="5"/>
      <c r="M4" s="4"/>
      <c r="N4">
        <f>IF(OR($B4="",J4&lt;=0),"",J4+ROW()/100000)</f>
      </c>
      <c r="O4">
        <f>IF(N4="","",COUNTIF($N$4:$N$203,"&gt;"&amp;N4)+1)</f>
      </c>
    </row>
    <row r="5" spans="1:15" x14ac:dyDescent="0.25">
      <c r="A5" s="4">
        <v>2</v>
      </c>
      <c r="B5" s="4" t="s">
        <v>34</v>
      </c>
      <c r="C5" s="4" t="s">
        <v>35</v>
      </c>
      <c r="D5" s="4" t="s">
        <v>32</v>
      </c>
      <c r="E5" s="4" t="s">
        <v>36</v>
      </c>
      <c r="F5" s="9">
        <v>8500</v>
      </c>
      <c r="G5" s="9">
        <v>8500</v>
      </c>
      <c r="H5" s="9">
        <v>500</v>
      </c>
      <c r="I5" s="9">
        <v>0</v>
      </c>
      <c r="J5" s="10">
        <f>IF($B5="","",F5+G5+H5-I5)</f>
      </c>
      <c r="K5" s="11">
        <f>IF($B5="","",IF(J5&lt;=0,"Paid",IF(I5&gt;0,"Part paid","Unpaid")))</f>
      </c>
      <c r="L5" s="5">
        <v>46307</v>
      </c>
      <c r="M5" s="4" t="s">
        <v>37</v>
      </c>
      <c r="N5">
        <f>IF(OR($B5="",J5&lt;=0),"",J5+ROW()/100000)</f>
      </c>
      <c r="O5">
        <f>IF(N5="","",COUNTIF($N$4:$N$203,"&gt;"&amp;N5)+1)</f>
      </c>
    </row>
    <row r="6" spans="1:15" x14ac:dyDescent="0.25">
      <c r="A6" s="4">
        <v>3</v>
      </c>
      <c r="B6" s="4" t="s">
        <v>38</v>
      </c>
      <c r="C6" s="4" t="s">
        <v>39</v>
      </c>
      <c r="D6" s="4" t="s">
        <v>40</v>
      </c>
      <c r="E6" s="4" t="s">
        <v>41</v>
      </c>
      <c r="F6" s="9">
        <v>8500</v>
      </c>
      <c r="G6" s="9">
        <v>0</v>
      </c>
      <c r="H6" s="9">
        <v>0</v>
      </c>
      <c r="I6" s="9">
        <v>4000</v>
      </c>
      <c r="J6" s="10">
        <f>IF($B6="","",F6+G6+H6-I6)</f>
      </c>
      <c r="K6" s="11">
        <f>IF($B6="","",IF(J6&lt;=0,"Paid",IF(I6&gt;0,"Part paid","Unpaid")))</f>
      </c>
      <c r="L6" s="5"/>
      <c r="M6" s="4" t="s">
        <v>42</v>
      </c>
      <c r="N6">
        <f>IF(OR($B6="",J6&lt;=0),"",J6+ROW()/100000)</f>
      </c>
      <c r="O6">
        <f>IF(N6="","",COUNTIF($N$4:$N$203,"&gt;"&amp;N6)+1)</f>
      </c>
    </row>
    <row r="7" spans="1:15" x14ac:dyDescent="0.25">
      <c r="A7" s="4">
        <v>4</v>
      </c>
      <c r="B7" s="4" t="s">
        <v>43</v>
      </c>
      <c r="C7" s="4" t="s">
        <v>44</v>
      </c>
      <c r="D7" s="4" t="s">
        <v>45</v>
      </c>
      <c r="E7" s="4" t="s">
        <v>46</v>
      </c>
      <c r="F7" s="9">
        <v>9000</v>
      </c>
      <c r="G7" s="9">
        <v>18000</v>
      </c>
      <c r="H7" s="9">
        <v>500</v>
      </c>
      <c r="I7" s="9">
        <v>0</v>
      </c>
      <c r="J7" s="10">
        <f>IF($B7="","",F7+G7+H7-I7)</f>
      </c>
      <c r="K7" s="11">
        <f>IF($B7="","",IF(J7&lt;=0,"Paid",IF(I7&gt;0,"Part paid","Unpaid")))</f>
      </c>
      <c r="L7" s="5">
        <v>46300</v>
      </c>
      <c r="M7" s="4" t="s">
        <v>47</v>
      </c>
      <c r="N7">
        <f>IF(OR($B7="",J7&lt;=0),"",J7+ROW()/100000)</f>
      </c>
      <c r="O7">
        <f>IF(N7="","",COUNTIF($N$4:$N$203,"&gt;"&amp;N7)+1)</f>
      </c>
    </row>
    <row r="8" spans="1:15" x14ac:dyDescent="0.25">
      <c r="A8" s="4">
        <v>5</v>
      </c>
      <c r="B8" s="4" t="s">
        <v>48</v>
      </c>
      <c r="C8" s="4" t="s">
        <v>49</v>
      </c>
      <c r="D8" s="4" t="s">
        <v>45</v>
      </c>
      <c r="E8" s="4" t="s">
        <v>50</v>
      </c>
      <c r="F8" s="9">
        <v>9000</v>
      </c>
      <c r="G8" s="9">
        <v>0</v>
      </c>
      <c r="H8" s="9">
        <v>0</v>
      </c>
      <c r="I8" s="9">
        <v>9000</v>
      </c>
      <c r="J8" s="10">
        <f>IF($B8="","",F8+G8+H8-I8)</f>
      </c>
      <c r="K8" s="11">
        <f>IF($B8="","",IF(J8&lt;=0,"Paid",IF(I8&gt;0,"Part paid","Unpaid")))</f>
      </c>
      <c r="L8" s="5"/>
      <c r="M8" s="4"/>
      <c r="N8">
        <f>IF(OR($B8="",J8&lt;=0),"",J8+ROW()/100000)</f>
      </c>
      <c r="O8">
        <f>IF(N8="","",COUNTIF($N$4:$N$203,"&gt;"&amp;N8)+1)</f>
      </c>
    </row>
    <row r="9" spans="1:15" x14ac:dyDescent="0.25">
      <c r="A9" s="4">
        <v>6</v>
      </c>
      <c r="B9" s="4" t="s">
        <v>51</v>
      </c>
      <c r="C9" s="4" t="s">
        <v>52</v>
      </c>
      <c r="D9" s="4" t="s">
        <v>53</v>
      </c>
      <c r="E9" s="4" t="s">
        <v>54</v>
      </c>
      <c r="F9" s="9">
        <v>9000</v>
      </c>
      <c r="G9" s="9">
        <v>0</v>
      </c>
      <c r="H9" s="9">
        <v>500</v>
      </c>
      <c r="I9" s="9">
        <v>0</v>
      </c>
      <c r="J9" s="10">
        <f>IF($B9="","",F9+G9+H9-I9)</f>
      </c>
      <c r="K9" s="11">
        <f>IF($B9="","",IF(J9&lt;=0,"Paid",IF(I9&gt;0,"Part paid","Unpaid")))</f>
      </c>
      <c r="L9" s="5"/>
      <c r="M9" s="4"/>
      <c r="N9">
        <f>IF(OR($B9="",J9&lt;=0),"",J9+ROW()/100000)</f>
      </c>
      <c r="O9">
        <f>IF(N9="","",COUNTIF($N$4:$N$203,"&gt;"&amp;N9)+1)</f>
      </c>
    </row>
    <row r="10" spans="1:15" x14ac:dyDescent="0.25">
      <c r="A10" s="4">
        <v>7</v>
      </c>
      <c r="B10" s="4" t="s">
        <v>55</v>
      </c>
      <c r="C10" s="4" t="s">
        <v>56</v>
      </c>
      <c r="D10" s="4" t="s">
        <v>57</v>
      </c>
      <c r="E10" s="4" t="s">
        <v>58</v>
      </c>
      <c r="F10" s="9">
        <v>9500</v>
      </c>
      <c r="G10" s="9">
        <v>0</v>
      </c>
      <c r="H10" s="9">
        <v>0</v>
      </c>
      <c r="I10" s="9">
        <v>9500</v>
      </c>
      <c r="J10" s="10">
        <f>IF($B10="","",F10+G10+H10-I10)</f>
      </c>
      <c r="K10" s="11">
        <f>IF($B10="","",IF(J10&lt;=0,"Paid",IF(I10&gt;0,"Part paid","Unpaid")))</f>
      </c>
      <c r="L10" s="5"/>
      <c r="M10" s="4"/>
      <c r="N10">
        <f>IF(OR($B10="",J10&lt;=0),"",J10+ROW()/100000)</f>
      </c>
      <c r="O10">
        <f>IF(N10="","",COUNTIF($N$4:$N$203,"&gt;"&amp;N10)+1)</f>
      </c>
    </row>
    <row r="11" spans="1:15" x14ac:dyDescent="0.25">
      <c r="A11" s="4">
        <v>8</v>
      </c>
      <c r="B11" s="4" t="s">
        <v>59</v>
      </c>
      <c r="C11" s="4" t="s">
        <v>60</v>
      </c>
      <c r="D11" s="4" t="s">
        <v>57</v>
      </c>
      <c r="E11" s="4" t="s">
        <v>61</v>
      </c>
      <c r="F11" s="9">
        <v>9500</v>
      </c>
      <c r="G11" s="9">
        <v>9500</v>
      </c>
      <c r="H11" s="9">
        <v>0</v>
      </c>
      <c r="I11" s="9">
        <v>9500</v>
      </c>
      <c r="J11" s="10">
        <f>IF($B11="","",F11+G11+H11-I11)</f>
      </c>
      <c r="K11" s="11">
        <f>IF($B11="","",IF(J11&lt;=0,"Paid",IF(I11&gt;0,"Part paid","Unpaid")))</f>
      </c>
      <c r="L11" s="5"/>
      <c r="M11" s="4" t="s">
        <v>62</v>
      </c>
      <c r="N11">
        <f>IF(OR($B11="",J11&lt;=0),"",J11+ROW()/100000)</f>
      </c>
      <c r="O11">
        <f>IF(N11="","",COUNTIF($N$4:$N$203,"&gt;"&amp;N11)+1)</f>
      </c>
    </row>
    <row r="12" spans="1:15" x14ac:dyDescent="0.25">
      <c r="A12" s="4">
        <v>9</v>
      </c>
      <c r="B12" s="4" t="s">
        <v>63</v>
      </c>
      <c r="C12" s="4" t="s">
        <v>64</v>
      </c>
      <c r="D12" s="4" t="s">
        <v>65</v>
      </c>
      <c r="E12" s="4" t="s">
        <v>66</v>
      </c>
      <c r="F12" s="9">
        <v>9500</v>
      </c>
      <c r="G12" s="9">
        <v>0</v>
      </c>
      <c r="H12" s="9">
        <v>0</v>
      </c>
      <c r="I12" s="9">
        <v>0</v>
      </c>
      <c r="J12" s="10">
        <f>IF($B12="","",F12+G12+H12-I12)</f>
      </c>
      <c r="K12" s="11">
        <f>IF($B12="","",IF(J12&lt;=0,"Paid",IF(I12&gt;0,"Part paid","Unpaid")))</f>
      </c>
      <c r="L12" s="5"/>
      <c r="M12" s="4"/>
      <c r="N12">
        <f>IF(OR($B12="",J12&lt;=0),"",J12+ROW()/100000)</f>
      </c>
      <c r="O12">
        <f>IF(N12="","",COUNTIF($N$4:$N$203,"&gt;"&amp;N12)+1)</f>
      </c>
    </row>
    <row r="13" spans="1:15" x14ac:dyDescent="0.25">
      <c r="A13" s="4">
        <v>10</v>
      </c>
      <c r="B13" s="4" t="s">
        <v>67</v>
      </c>
      <c r="C13" s="4" t="s">
        <v>68</v>
      </c>
      <c r="D13" s="4" t="s">
        <v>65</v>
      </c>
      <c r="E13" s="4" t="s">
        <v>69</v>
      </c>
      <c r="F13" s="9">
        <v>9500</v>
      </c>
      <c r="G13" s="9">
        <v>0</v>
      </c>
      <c r="H13" s="9">
        <v>0</v>
      </c>
      <c r="I13" s="9">
        <v>9500</v>
      </c>
      <c r="J13" s="10">
        <f>IF($B13="","",F13+G13+H13-I13)</f>
      </c>
      <c r="K13" s="11">
        <f>IF($B13="","",IF(J13&lt;=0,"Paid",IF(I13&gt;0,"Part paid","Unpaid")))</f>
      </c>
      <c r="L13" s="5"/>
      <c r="M13" s="4"/>
      <c r="N13">
        <f>IF(OR($B13="",J13&lt;=0),"",J13+ROW()/100000)</f>
      </c>
      <c r="O13">
        <f>IF(N13="","",COUNTIF($N$4:$N$203,"&gt;"&amp;N13)+1)</f>
      </c>
    </row>
    <row r="14" spans="1:15" x14ac:dyDescent="0.25">
      <c r="A14" s="4"/>
      <c r="B14" s="4"/>
      <c r="C14" s="4"/>
      <c r="D14" s="4"/>
      <c r="E14" s="4"/>
      <c r="F14" s="9"/>
      <c r="G14" s="9"/>
      <c r="H14" s="9"/>
      <c r="I14" s="9"/>
      <c r="J14" s="10">
        <f>IF($B14="","",F14+G14+H14-I14)</f>
      </c>
      <c r="K14" s="11">
        <f>IF($B14="","",IF(J14&lt;=0,"Paid",IF(I14&gt;0,"Part paid","Unpaid")))</f>
      </c>
      <c r="L14" s="5"/>
      <c r="M14" s="4"/>
      <c r="N14">
        <f>IF(OR($B14="",J14&lt;=0),"",J14+ROW()/100000)</f>
      </c>
      <c r="O14">
        <f>IF(N14="","",COUNTIF($N$4:$N$203,"&gt;"&amp;N14)+1)</f>
      </c>
    </row>
    <row r="15" spans="1:15" x14ac:dyDescent="0.25">
      <c r="A15" s="4"/>
      <c r="B15" s="4"/>
      <c r="C15" s="4"/>
      <c r="D15" s="4"/>
      <c r="E15" s="4"/>
      <c r="F15" s="9"/>
      <c r="G15" s="9"/>
      <c r="H15" s="9"/>
      <c r="I15" s="9"/>
      <c r="J15" s="10">
        <f>IF($B15="","",F15+G15+H15-I15)</f>
      </c>
      <c r="K15" s="11">
        <f>IF($B15="","",IF(J15&lt;=0,"Paid",IF(I15&gt;0,"Part paid","Unpaid")))</f>
      </c>
      <c r="L15" s="5"/>
      <c r="M15" s="4"/>
      <c r="N15">
        <f>IF(OR($B15="",J15&lt;=0),"",J15+ROW()/100000)</f>
      </c>
      <c r="O15">
        <f>IF(N15="","",COUNTIF($N$4:$N$203,"&gt;"&amp;N15)+1)</f>
      </c>
    </row>
    <row r="16" spans="1:15" x14ac:dyDescent="0.25">
      <c r="A16" s="4"/>
      <c r="B16" s="4"/>
      <c r="C16" s="4"/>
      <c r="D16" s="4"/>
      <c r="E16" s="4"/>
      <c r="F16" s="9"/>
      <c r="G16" s="9"/>
      <c r="H16" s="9"/>
      <c r="I16" s="9"/>
      <c r="J16" s="10">
        <f>IF($B16="","",F16+G16+H16-I16)</f>
      </c>
      <c r="K16" s="11">
        <f>IF($B16="","",IF(J16&lt;=0,"Paid",IF(I16&gt;0,"Part paid","Unpaid")))</f>
      </c>
      <c r="L16" s="5"/>
      <c r="M16" s="4"/>
      <c r="N16">
        <f>IF(OR($B16="",J16&lt;=0),"",J16+ROW()/100000)</f>
      </c>
      <c r="O16">
        <f>IF(N16="","",COUNTIF($N$4:$N$203,"&gt;"&amp;N16)+1)</f>
      </c>
    </row>
    <row r="17" spans="1:15" x14ac:dyDescent="0.25">
      <c r="A17" s="4"/>
      <c r="B17" s="4"/>
      <c r="C17" s="4"/>
      <c r="D17" s="4"/>
      <c r="E17" s="4"/>
      <c r="F17" s="9"/>
      <c r="G17" s="9"/>
      <c r="H17" s="9"/>
      <c r="I17" s="9"/>
      <c r="J17" s="10">
        <f>IF($B17="","",F17+G17+H17-I17)</f>
      </c>
      <c r="K17" s="11">
        <f>IF($B17="","",IF(J17&lt;=0,"Paid",IF(I17&gt;0,"Part paid","Unpaid")))</f>
      </c>
      <c r="L17" s="5"/>
      <c r="M17" s="4"/>
      <c r="N17">
        <f>IF(OR($B17="",J17&lt;=0),"",J17+ROW()/100000)</f>
      </c>
      <c r="O17">
        <f>IF(N17="","",COUNTIF($N$4:$N$203,"&gt;"&amp;N17)+1)</f>
      </c>
    </row>
    <row r="18" spans="1:15" x14ac:dyDescent="0.25">
      <c r="A18" s="4"/>
      <c r="B18" s="4"/>
      <c r="C18" s="4"/>
      <c r="D18" s="4"/>
      <c r="E18" s="4"/>
      <c r="F18" s="9"/>
      <c r="G18" s="9"/>
      <c r="H18" s="9"/>
      <c r="I18" s="9"/>
      <c r="J18" s="10">
        <f>IF($B18="","",F18+G18+H18-I18)</f>
      </c>
      <c r="K18" s="11">
        <f>IF($B18="","",IF(J18&lt;=0,"Paid",IF(I18&gt;0,"Part paid","Unpaid")))</f>
      </c>
      <c r="L18" s="5"/>
      <c r="M18" s="4"/>
      <c r="N18">
        <f>IF(OR($B18="",J18&lt;=0),"",J18+ROW()/100000)</f>
      </c>
      <c r="O18">
        <f>IF(N18="","",COUNTIF($N$4:$N$203,"&gt;"&amp;N18)+1)</f>
      </c>
    </row>
    <row r="19" spans="1:15" x14ac:dyDescent="0.25">
      <c r="A19" s="4"/>
      <c r="B19" s="4"/>
      <c r="C19" s="4"/>
      <c r="D19" s="4"/>
      <c r="E19" s="4"/>
      <c r="F19" s="9"/>
      <c r="G19" s="9"/>
      <c r="H19" s="9"/>
      <c r="I19" s="9"/>
      <c r="J19" s="10">
        <f>IF($B19="","",F19+G19+H19-I19)</f>
      </c>
      <c r="K19" s="11">
        <f>IF($B19="","",IF(J19&lt;=0,"Paid",IF(I19&gt;0,"Part paid","Unpaid")))</f>
      </c>
      <c r="L19" s="5"/>
      <c r="M19" s="4"/>
      <c r="N19">
        <f>IF(OR($B19="",J19&lt;=0),"",J19+ROW()/100000)</f>
      </c>
      <c r="O19">
        <f>IF(N19="","",COUNTIF($N$4:$N$203,"&gt;"&amp;N19)+1)</f>
      </c>
    </row>
    <row r="20" spans="1:15" x14ac:dyDescent="0.25">
      <c r="A20" s="4"/>
      <c r="B20" s="4"/>
      <c r="C20" s="4"/>
      <c r="D20" s="4"/>
      <c r="E20" s="4"/>
      <c r="F20" s="9"/>
      <c r="G20" s="9"/>
      <c r="H20" s="9"/>
      <c r="I20" s="9"/>
      <c r="J20" s="10">
        <f>IF($B20="","",F20+G20+H20-I20)</f>
      </c>
      <c r="K20" s="11">
        <f>IF($B20="","",IF(J20&lt;=0,"Paid",IF(I20&gt;0,"Part paid","Unpaid")))</f>
      </c>
      <c r="L20" s="5"/>
      <c r="M20" s="4"/>
      <c r="N20">
        <f>IF(OR($B20="",J20&lt;=0),"",J20+ROW()/100000)</f>
      </c>
      <c r="O20">
        <f>IF(N20="","",COUNTIF($N$4:$N$203,"&gt;"&amp;N20)+1)</f>
      </c>
    </row>
    <row r="21" spans="1:15" x14ac:dyDescent="0.25">
      <c r="A21" s="4"/>
      <c r="B21" s="4"/>
      <c r="C21" s="4"/>
      <c r="D21" s="4"/>
      <c r="E21" s="4"/>
      <c r="F21" s="9"/>
      <c r="G21" s="9"/>
      <c r="H21" s="9"/>
      <c r="I21" s="9"/>
      <c r="J21" s="10">
        <f>IF($B21="","",F21+G21+H21-I21)</f>
      </c>
      <c r="K21" s="11">
        <f>IF($B21="","",IF(J21&lt;=0,"Paid",IF(I21&gt;0,"Part paid","Unpaid")))</f>
      </c>
      <c r="L21" s="5"/>
      <c r="M21" s="4"/>
      <c r="N21">
        <f>IF(OR($B21="",J21&lt;=0),"",J21+ROW()/100000)</f>
      </c>
      <c r="O21">
        <f>IF(N21="","",COUNTIF($N$4:$N$203,"&gt;"&amp;N21)+1)</f>
      </c>
    </row>
    <row r="22" spans="1:15" x14ac:dyDescent="0.25">
      <c r="A22" s="4"/>
      <c r="B22" s="4"/>
      <c r="C22" s="4"/>
      <c r="D22" s="4"/>
      <c r="E22" s="4"/>
      <c r="F22" s="9"/>
      <c r="G22" s="9"/>
      <c r="H22" s="9"/>
      <c r="I22" s="9"/>
      <c r="J22" s="10">
        <f>IF($B22="","",F22+G22+H22-I22)</f>
      </c>
      <c r="K22" s="11">
        <f>IF($B22="","",IF(J22&lt;=0,"Paid",IF(I22&gt;0,"Part paid","Unpaid")))</f>
      </c>
      <c r="L22" s="5"/>
      <c r="M22" s="4"/>
      <c r="N22">
        <f>IF(OR($B22="",J22&lt;=0),"",J22+ROW()/100000)</f>
      </c>
      <c r="O22">
        <f>IF(N22="","",COUNTIF($N$4:$N$203,"&gt;"&amp;N22)+1)</f>
      </c>
    </row>
    <row r="23" spans="1:15" x14ac:dyDescent="0.25">
      <c r="A23" s="4"/>
      <c r="B23" s="4"/>
      <c r="C23" s="4"/>
      <c r="D23" s="4"/>
      <c r="E23" s="4"/>
      <c r="F23" s="9"/>
      <c r="G23" s="9"/>
      <c r="H23" s="9"/>
      <c r="I23" s="9"/>
      <c r="J23" s="10">
        <f>IF($B23="","",F23+G23+H23-I23)</f>
      </c>
      <c r="K23" s="11">
        <f>IF($B23="","",IF(J23&lt;=0,"Paid",IF(I23&gt;0,"Part paid","Unpaid")))</f>
      </c>
      <c r="L23" s="5"/>
      <c r="M23" s="4"/>
      <c r="N23">
        <f>IF(OR($B23="",J23&lt;=0),"",J23+ROW()/100000)</f>
      </c>
      <c r="O23">
        <f>IF(N23="","",COUNTIF($N$4:$N$203,"&gt;"&amp;N23)+1)</f>
      </c>
    </row>
    <row r="24" spans="1:15" x14ac:dyDescent="0.25">
      <c r="A24" s="4"/>
      <c r="B24" s="4"/>
      <c r="C24" s="4"/>
      <c r="D24" s="4"/>
      <c r="E24" s="4"/>
      <c r="F24" s="9"/>
      <c r="G24" s="9"/>
      <c r="H24" s="9"/>
      <c r="I24" s="9"/>
      <c r="J24" s="10">
        <f>IF($B24="","",F24+G24+H24-I24)</f>
      </c>
      <c r="K24" s="11">
        <f>IF($B24="","",IF(J24&lt;=0,"Paid",IF(I24&gt;0,"Part paid","Unpaid")))</f>
      </c>
      <c r="L24" s="5"/>
      <c r="M24" s="4"/>
      <c r="N24">
        <f>IF(OR($B24="",J24&lt;=0),"",J24+ROW()/100000)</f>
      </c>
      <c r="O24">
        <f>IF(N24="","",COUNTIF($N$4:$N$203,"&gt;"&amp;N24)+1)</f>
      </c>
    </row>
    <row r="25" spans="1:15" x14ac:dyDescent="0.25">
      <c r="A25" s="4"/>
      <c r="B25" s="4"/>
      <c r="C25" s="4"/>
      <c r="D25" s="4"/>
      <c r="E25" s="4"/>
      <c r="F25" s="9"/>
      <c r="G25" s="9"/>
      <c r="H25" s="9"/>
      <c r="I25" s="9"/>
      <c r="J25" s="10">
        <f>IF($B25="","",F25+G25+H25-I25)</f>
      </c>
      <c r="K25" s="11">
        <f>IF($B25="","",IF(J25&lt;=0,"Paid",IF(I25&gt;0,"Part paid","Unpaid")))</f>
      </c>
      <c r="L25" s="5"/>
      <c r="M25" s="4"/>
      <c r="N25">
        <f>IF(OR($B25="",J25&lt;=0),"",J25+ROW()/100000)</f>
      </c>
      <c r="O25">
        <f>IF(N25="","",COUNTIF($N$4:$N$203,"&gt;"&amp;N25)+1)</f>
      </c>
    </row>
    <row r="26" spans="1:15" x14ac:dyDescent="0.25">
      <c r="A26" s="4"/>
      <c r="B26" s="4"/>
      <c r="C26" s="4"/>
      <c r="D26" s="4"/>
      <c r="E26" s="4"/>
      <c r="F26" s="9"/>
      <c r="G26" s="9"/>
      <c r="H26" s="9"/>
      <c r="I26" s="9"/>
      <c r="J26" s="10">
        <f>IF($B26="","",F26+G26+H26-I26)</f>
      </c>
      <c r="K26" s="11">
        <f>IF($B26="","",IF(J26&lt;=0,"Paid",IF(I26&gt;0,"Part paid","Unpaid")))</f>
      </c>
      <c r="L26" s="5"/>
      <c r="M26" s="4"/>
      <c r="N26">
        <f>IF(OR($B26="",J26&lt;=0),"",J26+ROW()/100000)</f>
      </c>
      <c r="O26">
        <f>IF(N26="","",COUNTIF($N$4:$N$203,"&gt;"&amp;N26)+1)</f>
      </c>
    </row>
    <row r="27" spans="1:15" x14ac:dyDescent="0.25">
      <c r="A27" s="4"/>
      <c r="B27" s="4"/>
      <c r="C27" s="4"/>
      <c r="D27" s="4"/>
      <c r="E27" s="4"/>
      <c r="F27" s="9"/>
      <c r="G27" s="9"/>
      <c r="H27" s="9"/>
      <c r="I27" s="9"/>
      <c r="J27" s="10">
        <f>IF($B27="","",F27+G27+H27-I27)</f>
      </c>
      <c r="K27" s="11">
        <f>IF($B27="","",IF(J27&lt;=0,"Paid",IF(I27&gt;0,"Part paid","Unpaid")))</f>
      </c>
      <c r="L27" s="5"/>
      <c r="M27" s="4"/>
      <c r="N27">
        <f>IF(OR($B27="",J27&lt;=0),"",J27+ROW()/100000)</f>
      </c>
      <c r="O27">
        <f>IF(N27="","",COUNTIF($N$4:$N$203,"&gt;"&amp;N27)+1)</f>
      </c>
    </row>
    <row r="28" spans="1:15" x14ac:dyDescent="0.25">
      <c r="A28" s="4"/>
      <c r="B28" s="4"/>
      <c r="C28" s="4"/>
      <c r="D28" s="4"/>
      <c r="E28" s="4"/>
      <c r="F28" s="9"/>
      <c r="G28" s="9"/>
      <c r="H28" s="9"/>
      <c r="I28" s="9"/>
      <c r="J28" s="10">
        <f>IF($B28="","",F28+G28+H28-I28)</f>
      </c>
      <c r="K28" s="11">
        <f>IF($B28="","",IF(J28&lt;=0,"Paid",IF(I28&gt;0,"Part paid","Unpaid")))</f>
      </c>
      <c r="L28" s="5"/>
      <c r="M28" s="4"/>
      <c r="N28">
        <f>IF(OR($B28="",J28&lt;=0),"",J28+ROW()/100000)</f>
      </c>
      <c r="O28">
        <f>IF(N28="","",COUNTIF($N$4:$N$203,"&gt;"&amp;N28)+1)</f>
      </c>
    </row>
    <row r="29" spans="1:15" x14ac:dyDescent="0.25">
      <c r="A29" s="4"/>
      <c r="B29" s="4"/>
      <c r="C29" s="4"/>
      <c r="D29" s="4"/>
      <c r="E29" s="4"/>
      <c r="F29" s="9"/>
      <c r="G29" s="9"/>
      <c r="H29" s="9"/>
      <c r="I29" s="9"/>
      <c r="J29" s="10">
        <f>IF($B29="","",F29+G29+H29-I29)</f>
      </c>
      <c r="K29" s="11">
        <f>IF($B29="","",IF(J29&lt;=0,"Paid",IF(I29&gt;0,"Part paid","Unpaid")))</f>
      </c>
      <c r="L29" s="5"/>
      <c r="M29" s="4"/>
      <c r="N29">
        <f>IF(OR($B29="",J29&lt;=0),"",J29+ROW()/100000)</f>
      </c>
      <c r="O29">
        <f>IF(N29="","",COUNTIF($N$4:$N$203,"&gt;"&amp;N29)+1)</f>
      </c>
    </row>
    <row r="30" spans="1:15" x14ac:dyDescent="0.25">
      <c r="A30" s="4"/>
      <c r="B30" s="4"/>
      <c r="C30" s="4"/>
      <c r="D30" s="4"/>
      <c r="E30" s="4"/>
      <c r="F30" s="9"/>
      <c r="G30" s="9"/>
      <c r="H30" s="9"/>
      <c r="I30" s="9"/>
      <c r="J30" s="10">
        <f>IF($B30="","",F30+G30+H30-I30)</f>
      </c>
      <c r="K30" s="11">
        <f>IF($B30="","",IF(J30&lt;=0,"Paid",IF(I30&gt;0,"Part paid","Unpaid")))</f>
      </c>
      <c r="L30" s="5"/>
      <c r="M30" s="4"/>
      <c r="N30">
        <f>IF(OR($B30="",J30&lt;=0),"",J30+ROW()/100000)</f>
      </c>
      <c r="O30">
        <f>IF(N30="","",COUNTIF($N$4:$N$203,"&gt;"&amp;N30)+1)</f>
      </c>
    </row>
    <row r="31" spans="1:15" x14ac:dyDescent="0.25">
      <c r="A31" s="4"/>
      <c r="B31" s="4"/>
      <c r="C31" s="4"/>
      <c r="D31" s="4"/>
      <c r="E31" s="4"/>
      <c r="F31" s="9"/>
      <c r="G31" s="9"/>
      <c r="H31" s="9"/>
      <c r="I31" s="9"/>
      <c r="J31" s="10">
        <f>IF($B31="","",F31+G31+H31-I31)</f>
      </c>
      <c r="K31" s="11">
        <f>IF($B31="","",IF(J31&lt;=0,"Paid",IF(I31&gt;0,"Part paid","Unpaid")))</f>
      </c>
      <c r="L31" s="5"/>
      <c r="M31" s="4"/>
      <c r="N31">
        <f>IF(OR($B31="",J31&lt;=0),"",J31+ROW()/100000)</f>
      </c>
      <c r="O31">
        <f>IF(N31="","",COUNTIF($N$4:$N$203,"&gt;"&amp;N31)+1)</f>
      </c>
    </row>
    <row r="32" spans="1:15" x14ac:dyDescent="0.25">
      <c r="A32" s="4"/>
      <c r="B32" s="4"/>
      <c r="C32" s="4"/>
      <c r="D32" s="4"/>
      <c r="E32" s="4"/>
      <c r="F32" s="9"/>
      <c r="G32" s="9"/>
      <c r="H32" s="9"/>
      <c r="I32" s="9"/>
      <c r="J32" s="10">
        <f>IF($B32="","",F32+G32+H32-I32)</f>
      </c>
      <c r="K32" s="11">
        <f>IF($B32="","",IF(J32&lt;=0,"Paid",IF(I32&gt;0,"Part paid","Unpaid")))</f>
      </c>
      <c r="L32" s="5"/>
      <c r="M32" s="4"/>
      <c r="N32">
        <f>IF(OR($B32="",J32&lt;=0),"",J32+ROW()/100000)</f>
      </c>
      <c r="O32">
        <f>IF(N32="","",COUNTIF($N$4:$N$203,"&gt;"&amp;N32)+1)</f>
      </c>
    </row>
    <row r="33" spans="1:15" x14ac:dyDescent="0.25">
      <c r="A33" s="4"/>
      <c r="B33" s="4"/>
      <c r="C33" s="4"/>
      <c r="D33" s="4"/>
      <c r="E33" s="4"/>
      <c r="F33" s="9"/>
      <c r="G33" s="9"/>
      <c r="H33" s="9"/>
      <c r="I33" s="9"/>
      <c r="J33" s="10">
        <f>IF($B33="","",F33+G33+H33-I33)</f>
      </c>
      <c r="K33" s="11">
        <f>IF($B33="","",IF(J33&lt;=0,"Paid",IF(I33&gt;0,"Part paid","Unpaid")))</f>
      </c>
      <c r="L33" s="5"/>
      <c r="M33" s="4"/>
      <c r="N33">
        <f>IF(OR($B33="",J33&lt;=0),"",J33+ROW()/100000)</f>
      </c>
      <c r="O33">
        <f>IF(N33="","",COUNTIF($N$4:$N$203,"&gt;"&amp;N33)+1)</f>
      </c>
    </row>
    <row r="34" spans="1:15" x14ac:dyDescent="0.25">
      <c r="A34" s="4"/>
      <c r="B34" s="4"/>
      <c r="C34" s="4"/>
      <c r="D34" s="4"/>
      <c r="E34" s="4"/>
      <c r="F34" s="9"/>
      <c r="G34" s="9"/>
      <c r="H34" s="9"/>
      <c r="I34" s="9"/>
      <c r="J34" s="10">
        <f>IF($B34="","",F34+G34+H34-I34)</f>
      </c>
      <c r="K34" s="11">
        <f>IF($B34="","",IF(J34&lt;=0,"Paid",IF(I34&gt;0,"Part paid","Unpaid")))</f>
      </c>
      <c r="L34" s="5"/>
      <c r="M34" s="4"/>
      <c r="N34">
        <f>IF(OR($B34="",J34&lt;=0),"",J34+ROW()/100000)</f>
      </c>
      <c r="O34">
        <f>IF(N34="","",COUNTIF($N$4:$N$203,"&gt;"&amp;N34)+1)</f>
      </c>
    </row>
    <row r="35" spans="1:15" x14ac:dyDescent="0.25">
      <c r="A35" s="4"/>
      <c r="B35" s="4"/>
      <c r="C35" s="4"/>
      <c r="D35" s="4"/>
      <c r="E35" s="4"/>
      <c r="F35" s="9"/>
      <c r="G35" s="9"/>
      <c r="H35" s="9"/>
      <c r="I35" s="9"/>
      <c r="J35" s="10">
        <f>IF($B35="","",F35+G35+H35-I35)</f>
      </c>
      <c r="K35" s="11">
        <f>IF($B35="","",IF(J35&lt;=0,"Paid",IF(I35&gt;0,"Part paid","Unpaid")))</f>
      </c>
      <c r="L35" s="5"/>
      <c r="M35" s="4"/>
      <c r="N35">
        <f>IF(OR($B35="",J35&lt;=0),"",J35+ROW()/100000)</f>
      </c>
      <c r="O35">
        <f>IF(N35="","",COUNTIF($N$4:$N$203,"&gt;"&amp;N35)+1)</f>
      </c>
    </row>
    <row r="36" spans="1:15" x14ac:dyDescent="0.25">
      <c r="A36" s="4"/>
      <c r="B36" s="4"/>
      <c r="C36" s="4"/>
      <c r="D36" s="4"/>
      <c r="E36" s="4"/>
      <c r="F36" s="9"/>
      <c r="G36" s="9"/>
      <c r="H36" s="9"/>
      <c r="I36" s="9"/>
      <c r="J36" s="10">
        <f>IF($B36="","",F36+G36+H36-I36)</f>
      </c>
      <c r="K36" s="11">
        <f>IF($B36="","",IF(J36&lt;=0,"Paid",IF(I36&gt;0,"Part paid","Unpaid")))</f>
      </c>
      <c r="L36" s="5"/>
      <c r="M36" s="4"/>
      <c r="N36">
        <f>IF(OR($B36="",J36&lt;=0),"",J36+ROW()/100000)</f>
      </c>
      <c r="O36">
        <f>IF(N36="","",COUNTIF($N$4:$N$203,"&gt;"&amp;N36)+1)</f>
      </c>
    </row>
    <row r="37" spans="1:15" x14ac:dyDescent="0.25">
      <c r="A37" s="4"/>
      <c r="B37" s="4"/>
      <c r="C37" s="4"/>
      <c r="D37" s="4"/>
      <c r="E37" s="4"/>
      <c r="F37" s="9"/>
      <c r="G37" s="9"/>
      <c r="H37" s="9"/>
      <c r="I37" s="9"/>
      <c r="J37" s="10">
        <f>IF($B37="","",F37+G37+H37-I37)</f>
      </c>
      <c r="K37" s="11">
        <f>IF($B37="","",IF(J37&lt;=0,"Paid",IF(I37&gt;0,"Part paid","Unpaid")))</f>
      </c>
      <c r="L37" s="5"/>
      <c r="M37" s="4"/>
      <c r="N37">
        <f>IF(OR($B37="",J37&lt;=0),"",J37+ROW()/100000)</f>
      </c>
      <c r="O37">
        <f>IF(N37="","",COUNTIF($N$4:$N$203,"&gt;"&amp;N37)+1)</f>
      </c>
    </row>
    <row r="38" spans="1:15" x14ac:dyDescent="0.25">
      <c r="A38" s="4"/>
      <c r="B38" s="4"/>
      <c r="C38" s="4"/>
      <c r="D38" s="4"/>
      <c r="E38" s="4"/>
      <c r="F38" s="9"/>
      <c r="G38" s="9"/>
      <c r="H38" s="9"/>
      <c r="I38" s="9"/>
      <c r="J38" s="10">
        <f>IF($B38="","",F38+G38+H38-I38)</f>
      </c>
      <c r="K38" s="11">
        <f>IF($B38="","",IF(J38&lt;=0,"Paid",IF(I38&gt;0,"Part paid","Unpaid")))</f>
      </c>
      <c r="L38" s="5"/>
      <c r="M38" s="4"/>
      <c r="N38">
        <f>IF(OR($B38="",J38&lt;=0),"",J38+ROW()/100000)</f>
      </c>
      <c r="O38">
        <f>IF(N38="","",COUNTIF($N$4:$N$203,"&gt;"&amp;N38)+1)</f>
      </c>
    </row>
    <row r="39" spans="1:15" x14ac:dyDescent="0.25">
      <c r="A39" s="4"/>
      <c r="B39" s="4"/>
      <c r="C39" s="4"/>
      <c r="D39" s="4"/>
      <c r="E39" s="4"/>
      <c r="F39" s="9"/>
      <c r="G39" s="9"/>
      <c r="H39" s="9"/>
      <c r="I39" s="9"/>
      <c r="J39" s="10">
        <f>IF($B39="","",F39+G39+H39-I39)</f>
      </c>
      <c r="K39" s="11">
        <f>IF($B39="","",IF(J39&lt;=0,"Paid",IF(I39&gt;0,"Part paid","Unpaid")))</f>
      </c>
      <c r="L39" s="5"/>
      <c r="M39" s="4"/>
      <c r="N39">
        <f>IF(OR($B39="",J39&lt;=0),"",J39+ROW()/100000)</f>
      </c>
      <c r="O39">
        <f>IF(N39="","",COUNTIF($N$4:$N$203,"&gt;"&amp;N39)+1)</f>
      </c>
    </row>
    <row r="40" spans="1:15" x14ac:dyDescent="0.25">
      <c r="A40" s="4"/>
      <c r="B40" s="4"/>
      <c r="C40" s="4"/>
      <c r="D40" s="4"/>
      <c r="E40" s="4"/>
      <c r="F40" s="9"/>
      <c r="G40" s="9"/>
      <c r="H40" s="9"/>
      <c r="I40" s="9"/>
      <c r="J40" s="10">
        <f>IF($B40="","",F40+G40+H40-I40)</f>
      </c>
      <c r="K40" s="11">
        <f>IF($B40="","",IF(J40&lt;=0,"Paid",IF(I40&gt;0,"Part paid","Unpaid")))</f>
      </c>
      <c r="L40" s="5"/>
      <c r="M40" s="4"/>
      <c r="N40">
        <f>IF(OR($B40="",J40&lt;=0),"",J40+ROW()/100000)</f>
      </c>
      <c r="O40">
        <f>IF(N40="","",COUNTIF($N$4:$N$203,"&gt;"&amp;N40)+1)</f>
      </c>
    </row>
    <row r="41" spans="1:15" x14ac:dyDescent="0.25">
      <c r="A41" s="4"/>
      <c r="B41" s="4"/>
      <c r="C41" s="4"/>
      <c r="D41" s="4"/>
      <c r="E41" s="4"/>
      <c r="F41" s="9"/>
      <c r="G41" s="9"/>
      <c r="H41" s="9"/>
      <c r="I41" s="9"/>
      <c r="J41" s="10">
        <f>IF($B41="","",F41+G41+H41-I41)</f>
      </c>
      <c r="K41" s="11">
        <f>IF($B41="","",IF(J41&lt;=0,"Paid",IF(I41&gt;0,"Part paid","Unpaid")))</f>
      </c>
      <c r="L41" s="5"/>
      <c r="M41" s="4"/>
      <c r="N41">
        <f>IF(OR($B41="",J41&lt;=0),"",J41+ROW()/100000)</f>
      </c>
      <c r="O41">
        <f>IF(N41="","",COUNTIF($N$4:$N$203,"&gt;"&amp;N41)+1)</f>
      </c>
    </row>
    <row r="42" spans="1:15" x14ac:dyDescent="0.25">
      <c r="A42" s="4"/>
      <c r="B42" s="4"/>
      <c r="C42" s="4"/>
      <c r="D42" s="4"/>
      <c r="E42" s="4"/>
      <c r="F42" s="9"/>
      <c r="G42" s="9"/>
      <c r="H42" s="9"/>
      <c r="I42" s="9"/>
      <c r="J42" s="10">
        <f>IF($B42="","",F42+G42+H42-I42)</f>
      </c>
      <c r="K42" s="11">
        <f>IF($B42="","",IF(J42&lt;=0,"Paid",IF(I42&gt;0,"Part paid","Unpaid")))</f>
      </c>
      <c r="L42" s="5"/>
      <c r="M42" s="4"/>
      <c r="N42">
        <f>IF(OR($B42="",J42&lt;=0),"",J42+ROW()/100000)</f>
      </c>
      <c r="O42">
        <f>IF(N42="","",COUNTIF($N$4:$N$203,"&gt;"&amp;N42)+1)</f>
      </c>
    </row>
    <row r="43" spans="1:15" x14ac:dyDescent="0.25">
      <c r="A43" s="4"/>
      <c r="B43" s="4"/>
      <c r="C43" s="4"/>
      <c r="D43" s="4"/>
      <c r="E43" s="4"/>
      <c r="F43" s="9"/>
      <c r="G43" s="9"/>
      <c r="H43" s="9"/>
      <c r="I43" s="9"/>
      <c r="J43" s="10">
        <f>IF($B43="","",F43+G43+H43-I43)</f>
      </c>
      <c r="K43" s="11">
        <f>IF($B43="","",IF(J43&lt;=0,"Paid",IF(I43&gt;0,"Part paid","Unpaid")))</f>
      </c>
      <c r="L43" s="5"/>
      <c r="M43" s="4"/>
      <c r="N43">
        <f>IF(OR($B43="",J43&lt;=0),"",J43+ROW()/100000)</f>
      </c>
      <c r="O43">
        <f>IF(N43="","",COUNTIF($N$4:$N$203,"&gt;"&amp;N43)+1)</f>
      </c>
    </row>
    <row r="44" spans="1:15" x14ac:dyDescent="0.25">
      <c r="A44" s="4"/>
      <c r="B44" s="4"/>
      <c r="C44" s="4"/>
      <c r="D44" s="4"/>
      <c r="E44" s="4"/>
      <c r="F44" s="9"/>
      <c r="G44" s="9"/>
      <c r="H44" s="9"/>
      <c r="I44" s="9"/>
      <c r="J44" s="10">
        <f>IF($B44="","",F44+G44+H44-I44)</f>
      </c>
      <c r="K44" s="11">
        <f>IF($B44="","",IF(J44&lt;=0,"Paid",IF(I44&gt;0,"Part paid","Unpaid")))</f>
      </c>
      <c r="L44" s="5"/>
      <c r="M44" s="4"/>
      <c r="N44">
        <f>IF(OR($B44="",J44&lt;=0),"",J44+ROW()/100000)</f>
      </c>
      <c r="O44">
        <f>IF(N44="","",COUNTIF($N$4:$N$203,"&gt;"&amp;N44)+1)</f>
      </c>
    </row>
    <row r="45" spans="1:15" x14ac:dyDescent="0.25">
      <c r="A45" s="4"/>
      <c r="B45" s="4"/>
      <c r="C45" s="4"/>
      <c r="D45" s="4"/>
      <c r="E45" s="4"/>
      <c r="F45" s="9"/>
      <c r="G45" s="9"/>
      <c r="H45" s="9"/>
      <c r="I45" s="9"/>
      <c r="J45" s="10">
        <f>IF($B45="","",F45+G45+H45-I45)</f>
      </c>
      <c r="K45" s="11">
        <f>IF($B45="","",IF(J45&lt;=0,"Paid",IF(I45&gt;0,"Part paid","Unpaid")))</f>
      </c>
      <c r="L45" s="5"/>
      <c r="M45" s="4"/>
      <c r="N45">
        <f>IF(OR($B45="",J45&lt;=0),"",J45+ROW()/100000)</f>
      </c>
      <c r="O45">
        <f>IF(N45="","",COUNTIF($N$4:$N$203,"&gt;"&amp;N45)+1)</f>
      </c>
    </row>
    <row r="46" spans="1:15" x14ac:dyDescent="0.25">
      <c r="A46" s="4"/>
      <c r="B46" s="4"/>
      <c r="C46" s="4"/>
      <c r="D46" s="4"/>
      <c r="E46" s="4"/>
      <c r="F46" s="9"/>
      <c r="G46" s="9"/>
      <c r="H46" s="9"/>
      <c r="I46" s="9"/>
      <c r="J46" s="10">
        <f>IF($B46="","",F46+G46+H46-I46)</f>
      </c>
      <c r="K46" s="11">
        <f>IF($B46="","",IF(J46&lt;=0,"Paid",IF(I46&gt;0,"Part paid","Unpaid")))</f>
      </c>
      <c r="L46" s="5"/>
      <c r="M46" s="4"/>
      <c r="N46">
        <f>IF(OR($B46="",J46&lt;=0),"",J46+ROW()/100000)</f>
      </c>
      <c r="O46">
        <f>IF(N46="","",COUNTIF($N$4:$N$203,"&gt;"&amp;N46)+1)</f>
      </c>
    </row>
    <row r="47" spans="1:15" x14ac:dyDescent="0.25">
      <c r="A47" s="4"/>
      <c r="B47" s="4"/>
      <c r="C47" s="4"/>
      <c r="D47" s="4"/>
      <c r="E47" s="4"/>
      <c r="F47" s="9"/>
      <c r="G47" s="9"/>
      <c r="H47" s="9"/>
      <c r="I47" s="9"/>
      <c r="J47" s="10">
        <f>IF($B47="","",F47+G47+H47-I47)</f>
      </c>
      <c r="K47" s="11">
        <f>IF($B47="","",IF(J47&lt;=0,"Paid",IF(I47&gt;0,"Part paid","Unpaid")))</f>
      </c>
      <c r="L47" s="5"/>
      <c r="M47" s="4"/>
      <c r="N47">
        <f>IF(OR($B47="",J47&lt;=0),"",J47+ROW()/100000)</f>
      </c>
      <c r="O47">
        <f>IF(N47="","",COUNTIF($N$4:$N$203,"&gt;"&amp;N47)+1)</f>
      </c>
    </row>
    <row r="48" spans="1:15" x14ac:dyDescent="0.25">
      <c r="A48" s="4"/>
      <c r="B48" s="4"/>
      <c r="C48" s="4"/>
      <c r="D48" s="4"/>
      <c r="E48" s="4"/>
      <c r="F48" s="9"/>
      <c r="G48" s="9"/>
      <c r="H48" s="9"/>
      <c r="I48" s="9"/>
      <c r="J48" s="10">
        <f>IF($B48="","",F48+G48+H48-I48)</f>
      </c>
      <c r="K48" s="11">
        <f>IF($B48="","",IF(J48&lt;=0,"Paid",IF(I48&gt;0,"Part paid","Unpaid")))</f>
      </c>
      <c r="L48" s="5"/>
      <c r="M48" s="4"/>
      <c r="N48">
        <f>IF(OR($B48="",J48&lt;=0),"",J48+ROW()/100000)</f>
      </c>
      <c r="O48">
        <f>IF(N48="","",COUNTIF($N$4:$N$203,"&gt;"&amp;N48)+1)</f>
      </c>
    </row>
    <row r="49" spans="1:15" x14ac:dyDescent="0.25">
      <c r="A49" s="4"/>
      <c r="B49" s="4"/>
      <c r="C49" s="4"/>
      <c r="D49" s="4"/>
      <c r="E49" s="4"/>
      <c r="F49" s="9"/>
      <c r="G49" s="9"/>
      <c r="H49" s="9"/>
      <c r="I49" s="9"/>
      <c r="J49" s="10">
        <f>IF($B49="","",F49+G49+H49-I49)</f>
      </c>
      <c r="K49" s="11">
        <f>IF($B49="","",IF(J49&lt;=0,"Paid",IF(I49&gt;0,"Part paid","Unpaid")))</f>
      </c>
      <c r="L49" s="5"/>
      <c r="M49" s="4"/>
      <c r="N49">
        <f>IF(OR($B49="",J49&lt;=0),"",J49+ROW()/100000)</f>
      </c>
      <c r="O49">
        <f>IF(N49="","",COUNTIF($N$4:$N$203,"&gt;"&amp;N49)+1)</f>
      </c>
    </row>
    <row r="50" spans="1:15" x14ac:dyDescent="0.25">
      <c r="A50" s="4"/>
      <c r="B50" s="4"/>
      <c r="C50" s="4"/>
      <c r="D50" s="4"/>
      <c r="E50" s="4"/>
      <c r="F50" s="9"/>
      <c r="G50" s="9"/>
      <c r="H50" s="9"/>
      <c r="I50" s="9"/>
      <c r="J50" s="10">
        <f>IF($B50="","",F50+G50+H50-I50)</f>
      </c>
      <c r="K50" s="11">
        <f>IF($B50="","",IF(J50&lt;=0,"Paid",IF(I50&gt;0,"Part paid","Unpaid")))</f>
      </c>
      <c r="L50" s="5"/>
      <c r="M50" s="4"/>
      <c r="N50">
        <f>IF(OR($B50="",J50&lt;=0),"",J50+ROW()/100000)</f>
      </c>
      <c r="O50">
        <f>IF(N50="","",COUNTIF($N$4:$N$203,"&gt;"&amp;N50)+1)</f>
      </c>
    </row>
    <row r="51" spans="1:15" x14ac:dyDescent="0.25">
      <c r="A51" s="4"/>
      <c r="B51" s="4"/>
      <c r="C51" s="4"/>
      <c r="D51" s="4"/>
      <c r="E51" s="4"/>
      <c r="F51" s="9"/>
      <c r="G51" s="9"/>
      <c r="H51" s="9"/>
      <c r="I51" s="9"/>
      <c r="J51" s="10">
        <f>IF($B51="","",F51+G51+H51-I51)</f>
      </c>
      <c r="K51" s="11">
        <f>IF($B51="","",IF(J51&lt;=0,"Paid",IF(I51&gt;0,"Part paid","Unpaid")))</f>
      </c>
      <c r="L51" s="5"/>
      <c r="M51" s="4"/>
      <c r="N51">
        <f>IF(OR($B51="",J51&lt;=0),"",J51+ROW()/100000)</f>
      </c>
      <c r="O51">
        <f>IF(N51="","",COUNTIF($N$4:$N$203,"&gt;"&amp;N51)+1)</f>
      </c>
    </row>
    <row r="52" spans="1:15" x14ac:dyDescent="0.25">
      <c r="A52" s="4"/>
      <c r="B52" s="4"/>
      <c r="C52" s="4"/>
      <c r="D52" s="4"/>
      <c r="E52" s="4"/>
      <c r="F52" s="9"/>
      <c r="G52" s="9"/>
      <c r="H52" s="9"/>
      <c r="I52" s="9"/>
      <c r="J52" s="10">
        <f>IF($B52="","",F52+G52+H52-I52)</f>
      </c>
      <c r="K52" s="11">
        <f>IF($B52="","",IF(J52&lt;=0,"Paid",IF(I52&gt;0,"Part paid","Unpaid")))</f>
      </c>
      <c r="L52" s="5"/>
      <c r="M52" s="4"/>
      <c r="N52">
        <f>IF(OR($B52="",J52&lt;=0),"",J52+ROW()/100000)</f>
      </c>
      <c r="O52">
        <f>IF(N52="","",COUNTIF($N$4:$N$203,"&gt;"&amp;N52)+1)</f>
      </c>
    </row>
    <row r="53" spans="1:15" x14ac:dyDescent="0.25">
      <c r="A53" s="4"/>
      <c r="B53" s="4"/>
      <c r="C53" s="4"/>
      <c r="D53" s="4"/>
      <c r="E53" s="4"/>
      <c r="F53" s="9"/>
      <c r="G53" s="9"/>
      <c r="H53" s="9"/>
      <c r="I53" s="9"/>
      <c r="J53" s="10">
        <f>IF($B53="","",F53+G53+H53-I53)</f>
      </c>
      <c r="K53" s="11">
        <f>IF($B53="","",IF(J53&lt;=0,"Paid",IF(I53&gt;0,"Part paid","Unpaid")))</f>
      </c>
      <c r="L53" s="5"/>
      <c r="M53" s="4"/>
      <c r="N53">
        <f>IF(OR($B53="",J53&lt;=0),"",J53+ROW()/100000)</f>
      </c>
      <c r="O53">
        <f>IF(N53="","",COUNTIF($N$4:$N$203,"&gt;"&amp;N53)+1)</f>
      </c>
    </row>
    <row r="54" spans="1:15" x14ac:dyDescent="0.25">
      <c r="A54" s="4"/>
      <c r="B54" s="4"/>
      <c r="C54" s="4"/>
      <c r="D54" s="4"/>
      <c r="E54" s="4"/>
      <c r="F54" s="9"/>
      <c r="G54" s="9"/>
      <c r="H54" s="9"/>
      <c r="I54" s="9"/>
      <c r="J54" s="10">
        <f>IF($B54="","",F54+G54+H54-I54)</f>
      </c>
      <c r="K54" s="11">
        <f>IF($B54="","",IF(J54&lt;=0,"Paid",IF(I54&gt;0,"Part paid","Unpaid")))</f>
      </c>
      <c r="L54" s="5"/>
      <c r="M54" s="4"/>
      <c r="N54">
        <f>IF(OR($B54="",J54&lt;=0),"",J54+ROW()/100000)</f>
      </c>
      <c r="O54">
        <f>IF(N54="","",COUNTIF($N$4:$N$203,"&gt;"&amp;N54)+1)</f>
      </c>
    </row>
    <row r="55" spans="1:15" x14ac:dyDescent="0.25">
      <c r="A55" s="4"/>
      <c r="B55" s="4"/>
      <c r="C55" s="4"/>
      <c r="D55" s="4"/>
      <c r="E55" s="4"/>
      <c r="F55" s="9"/>
      <c r="G55" s="9"/>
      <c r="H55" s="9"/>
      <c r="I55" s="9"/>
      <c r="J55" s="10">
        <f>IF($B55="","",F55+G55+H55-I55)</f>
      </c>
      <c r="K55" s="11">
        <f>IF($B55="","",IF(J55&lt;=0,"Paid",IF(I55&gt;0,"Part paid","Unpaid")))</f>
      </c>
      <c r="L55" s="5"/>
      <c r="M55" s="4"/>
      <c r="N55">
        <f>IF(OR($B55="",J55&lt;=0),"",J55+ROW()/100000)</f>
      </c>
      <c r="O55">
        <f>IF(N55="","",COUNTIF($N$4:$N$203,"&gt;"&amp;N55)+1)</f>
      </c>
    </row>
    <row r="56" spans="1:15" x14ac:dyDescent="0.25">
      <c r="A56" s="4"/>
      <c r="B56" s="4"/>
      <c r="C56" s="4"/>
      <c r="D56" s="4"/>
      <c r="E56" s="4"/>
      <c r="F56" s="9"/>
      <c r="G56" s="9"/>
      <c r="H56" s="9"/>
      <c r="I56" s="9"/>
      <c r="J56" s="10">
        <f>IF($B56="","",F56+G56+H56-I56)</f>
      </c>
      <c r="K56" s="11">
        <f>IF($B56="","",IF(J56&lt;=0,"Paid",IF(I56&gt;0,"Part paid","Unpaid")))</f>
      </c>
      <c r="L56" s="5"/>
      <c r="M56" s="4"/>
      <c r="N56">
        <f>IF(OR($B56="",J56&lt;=0),"",J56+ROW()/100000)</f>
      </c>
      <c r="O56">
        <f>IF(N56="","",COUNTIF($N$4:$N$203,"&gt;"&amp;N56)+1)</f>
      </c>
    </row>
    <row r="57" spans="1:15" x14ac:dyDescent="0.25">
      <c r="A57" s="4"/>
      <c r="B57" s="4"/>
      <c r="C57" s="4"/>
      <c r="D57" s="4"/>
      <c r="E57" s="4"/>
      <c r="F57" s="9"/>
      <c r="G57" s="9"/>
      <c r="H57" s="9"/>
      <c r="I57" s="9"/>
      <c r="J57" s="10">
        <f>IF($B57="","",F57+G57+H57-I57)</f>
      </c>
      <c r="K57" s="11">
        <f>IF($B57="","",IF(J57&lt;=0,"Paid",IF(I57&gt;0,"Part paid","Unpaid")))</f>
      </c>
      <c r="L57" s="5"/>
      <c r="M57" s="4"/>
      <c r="N57">
        <f>IF(OR($B57="",J57&lt;=0),"",J57+ROW()/100000)</f>
      </c>
      <c r="O57">
        <f>IF(N57="","",COUNTIF($N$4:$N$203,"&gt;"&amp;N57)+1)</f>
      </c>
    </row>
    <row r="58" spans="1:15" x14ac:dyDescent="0.25">
      <c r="A58" s="4"/>
      <c r="B58" s="4"/>
      <c r="C58" s="4"/>
      <c r="D58" s="4"/>
      <c r="E58" s="4"/>
      <c r="F58" s="9"/>
      <c r="G58" s="9"/>
      <c r="H58" s="9"/>
      <c r="I58" s="9"/>
      <c r="J58" s="10">
        <f>IF($B58="","",F58+G58+H58-I58)</f>
      </c>
      <c r="K58" s="11">
        <f>IF($B58="","",IF(J58&lt;=0,"Paid",IF(I58&gt;0,"Part paid","Unpaid")))</f>
      </c>
      <c r="L58" s="5"/>
      <c r="M58" s="4"/>
      <c r="N58">
        <f>IF(OR($B58="",J58&lt;=0),"",J58+ROW()/100000)</f>
      </c>
      <c r="O58">
        <f>IF(N58="","",COUNTIF($N$4:$N$203,"&gt;"&amp;N58)+1)</f>
      </c>
    </row>
    <row r="59" spans="1:15" x14ac:dyDescent="0.25">
      <c r="A59" s="4"/>
      <c r="B59" s="4"/>
      <c r="C59" s="4"/>
      <c r="D59" s="4"/>
      <c r="E59" s="4"/>
      <c r="F59" s="9"/>
      <c r="G59" s="9"/>
      <c r="H59" s="9"/>
      <c r="I59" s="9"/>
      <c r="J59" s="10">
        <f>IF($B59="","",F59+G59+H59-I59)</f>
      </c>
      <c r="K59" s="11">
        <f>IF($B59="","",IF(J59&lt;=0,"Paid",IF(I59&gt;0,"Part paid","Unpaid")))</f>
      </c>
      <c r="L59" s="5"/>
      <c r="M59" s="4"/>
      <c r="N59">
        <f>IF(OR($B59="",J59&lt;=0),"",J59+ROW()/100000)</f>
      </c>
      <c r="O59">
        <f>IF(N59="","",COUNTIF($N$4:$N$203,"&gt;"&amp;N59)+1)</f>
      </c>
    </row>
    <row r="60" spans="1:15" x14ac:dyDescent="0.25">
      <c r="A60" s="4"/>
      <c r="B60" s="4"/>
      <c r="C60" s="4"/>
      <c r="D60" s="4"/>
      <c r="E60" s="4"/>
      <c r="F60" s="9"/>
      <c r="G60" s="9"/>
      <c r="H60" s="9"/>
      <c r="I60" s="9"/>
      <c r="J60" s="10">
        <f>IF($B60="","",F60+G60+H60-I60)</f>
      </c>
      <c r="K60" s="11">
        <f>IF($B60="","",IF(J60&lt;=0,"Paid",IF(I60&gt;0,"Part paid","Unpaid")))</f>
      </c>
      <c r="L60" s="5"/>
      <c r="M60" s="4"/>
      <c r="N60">
        <f>IF(OR($B60="",J60&lt;=0),"",J60+ROW()/100000)</f>
      </c>
      <c r="O60">
        <f>IF(N60="","",COUNTIF($N$4:$N$203,"&gt;"&amp;N60)+1)</f>
      </c>
    </row>
    <row r="61" spans="1:15" x14ac:dyDescent="0.25">
      <c r="A61" s="4"/>
      <c r="B61" s="4"/>
      <c r="C61" s="4"/>
      <c r="D61" s="4"/>
      <c r="E61" s="4"/>
      <c r="F61" s="9"/>
      <c r="G61" s="9"/>
      <c r="H61" s="9"/>
      <c r="I61" s="9"/>
      <c r="J61" s="10">
        <f>IF($B61="","",F61+G61+H61-I61)</f>
      </c>
      <c r="K61" s="11">
        <f>IF($B61="","",IF(J61&lt;=0,"Paid",IF(I61&gt;0,"Part paid","Unpaid")))</f>
      </c>
      <c r="L61" s="5"/>
      <c r="M61" s="4"/>
      <c r="N61">
        <f>IF(OR($B61="",J61&lt;=0),"",J61+ROW()/100000)</f>
      </c>
      <c r="O61">
        <f>IF(N61="","",COUNTIF($N$4:$N$203,"&gt;"&amp;N61)+1)</f>
      </c>
    </row>
    <row r="62" spans="1:15" x14ac:dyDescent="0.25">
      <c r="A62" s="4"/>
      <c r="B62" s="4"/>
      <c r="C62" s="4"/>
      <c r="D62" s="4"/>
      <c r="E62" s="4"/>
      <c r="F62" s="9"/>
      <c r="G62" s="9"/>
      <c r="H62" s="9"/>
      <c r="I62" s="9"/>
      <c r="J62" s="10">
        <f>IF($B62="","",F62+G62+H62-I62)</f>
      </c>
      <c r="K62" s="11">
        <f>IF($B62="","",IF(J62&lt;=0,"Paid",IF(I62&gt;0,"Part paid","Unpaid")))</f>
      </c>
      <c r="L62" s="5"/>
      <c r="M62" s="4"/>
      <c r="N62">
        <f>IF(OR($B62="",J62&lt;=0),"",J62+ROW()/100000)</f>
      </c>
      <c r="O62">
        <f>IF(N62="","",COUNTIF($N$4:$N$203,"&gt;"&amp;N62)+1)</f>
      </c>
    </row>
    <row r="63" spans="1:15" x14ac:dyDescent="0.25">
      <c r="A63" s="4"/>
      <c r="B63" s="4"/>
      <c r="C63" s="4"/>
      <c r="D63" s="4"/>
      <c r="E63" s="4"/>
      <c r="F63" s="9"/>
      <c r="G63" s="9"/>
      <c r="H63" s="9"/>
      <c r="I63" s="9"/>
      <c r="J63" s="10">
        <f>IF($B63="","",F63+G63+H63-I63)</f>
      </c>
      <c r="K63" s="11">
        <f>IF($B63="","",IF(J63&lt;=0,"Paid",IF(I63&gt;0,"Part paid","Unpaid")))</f>
      </c>
      <c r="L63" s="5"/>
      <c r="M63" s="4"/>
      <c r="N63">
        <f>IF(OR($B63="",J63&lt;=0),"",J63+ROW()/100000)</f>
      </c>
      <c r="O63">
        <f>IF(N63="","",COUNTIF($N$4:$N$203,"&gt;"&amp;N63)+1)</f>
      </c>
    </row>
    <row r="64" spans="1:15" x14ac:dyDescent="0.25">
      <c r="A64" s="4"/>
      <c r="B64" s="4"/>
      <c r="C64" s="4"/>
      <c r="D64" s="4"/>
      <c r="E64" s="4"/>
      <c r="F64" s="9"/>
      <c r="G64" s="9"/>
      <c r="H64" s="9"/>
      <c r="I64" s="9"/>
      <c r="J64" s="10">
        <f>IF($B64="","",F64+G64+H64-I64)</f>
      </c>
      <c r="K64" s="11">
        <f>IF($B64="","",IF(J64&lt;=0,"Paid",IF(I64&gt;0,"Part paid","Unpaid")))</f>
      </c>
      <c r="L64" s="5"/>
      <c r="M64" s="4"/>
      <c r="N64">
        <f>IF(OR($B64="",J64&lt;=0),"",J64+ROW()/100000)</f>
      </c>
      <c r="O64">
        <f>IF(N64="","",COUNTIF($N$4:$N$203,"&gt;"&amp;N64)+1)</f>
      </c>
    </row>
    <row r="65" spans="1:15" x14ac:dyDescent="0.25">
      <c r="A65" s="4"/>
      <c r="B65" s="4"/>
      <c r="C65" s="4"/>
      <c r="D65" s="4"/>
      <c r="E65" s="4"/>
      <c r="F65" s="9"/>
      <c r="G65" s="9"/>
      <c r="H65" s="9"/>
      <c r="I65" s="9"/>
      <c r="J65" s="10">
        <f>IF($B65="","",F65+G65+H65-I65)</f>
      </c>
      <c r="K65" s="11">
        <f>IF($B65="","",IF(J65&lt;=0,"Paid",IF(I65&gt;0,"Part paid","Unpaid")))</f>
      </c>
      <c r="L65" s="5"/>
      <c r="M65" s="4"/>
      <c r="N65">
        <f>IF(OR($B65="",J65&lt;=0),"",J65+ROW()/100000)</f>
      </c>
      <c r="O65">
        <f>IF(N65="","",COUNTIF($N$4:$N$203,"&gt;"&amp;N65)+1)</f>
      </c>
    </row>
    <row r="66" spans="1:15" x14ac:dyDescent="0.25">
      <c r="A66" s="4"/>
      <c r="B66" s="4"/>
      <c r="C66" s="4"/>
      <c r="D66" s="4"/>
      <c r="E66" s="4"/>
      <c r="F66" s="9"/>
      <c r="G66" s="9"/>
      <c r="H66" s="9"/>
      <c r="I66" s="9"/>
      <c r="J66" s="10">
        <f>IF($B66="","",F66+G66+H66-I66)</f>
      </c>
      <c r="K66" s="11">
        <f>IF($B66="","",IF(J66&lt;=0,"Paid",IF(I66&gt;0,"Part paid","Unpaid")))</f>
      </c>
      <c r="L66" s="5"/>
      <c r="M66" s="4"/>
      <c r="N66">
        <f>IF(OR($B66="",J66&lt;=0),"",J66+ROW()/100000)</f>
      </c>
      <c r="O66">
        <f>IF(N66="","",COUNTIF($N$4:$N$203,"&gt;"&amp;N66)+1)</f>
      </c>
    </row>
    <row r="67" spans="1:15" x14ac:dyDescent="0.25">
      <c r="A67" s="4"/>
      <c r="B67" s="4"/>
      <c r="C67" s="4"/>
      <c r="D67" s="4"/>
      <c r="E67" s="4"/>
      <c r="F67" s="9"/>
      <c r="G67" s="9"/>
      <c r="H67" s="9"/>
      <c r="I67" s="9"/>
      <c r="J67" s="10">
        <f>IF($B67="","",F67+G67+H67-I67)</f>
      </c>
      <c r="K67" s="11">
        <f>IF($B67="","",IF(J67&lt;=0,"Paid",IF(I67&gt;0,"Part paid","Unpaid")))</f>
      </c>
      <c r="L67" s="5"/>
      <c r="M67" s="4"/>
      <c r="N67">
        <f>IF(OR($B67="",J67&lt;=0),"",J67+ROW()/100000)</f>
      </c>
      <c r="O67">
        <f>IF(N67="","",COUNTIF($N$4:$N$203,"&gt;"&amp;N67)+1)</f>
      </c>
    </row>
    <row r="68" spans="1:15" x14ac:dyDescent="0.25">
      <c r="A68" s="4"/>
      <c r="B68" s="4"/>
      <c r="C68" s="4"/>
      <c r="D68" s="4"/>
      <c r="E68" s="4"/>
      <c r="F68" s="9"/>
      <c r="G68" s="9"/>
      <c r="H68" s="9"/>
      <c r="I68" s="9"/>
      <c r="J68" s="10">
        <f>IF($B68="","",F68+G68+H68-I68)</f>
      </c>
      <c r="K68" s="11">
        <f>IF($B68="","",IF(J68&lt;=0,"Paid",IF(I68&gt;0,"Part paid","Unpaid")))</f>
      </c>
      <c r="L68" s="5"/>
      <c r="M68" s="4"/>
      <c r="N68">
        <f>IF(OR($B68="",J68&lt;=0),"",J68+ROW()/100000)</f>
      </c>
      <c r="O68">
        <f>IF(N68="","",COUNTIF($N$4:$N$203,"&gt;"&amp;N68)+1)</f>
      </c>
    </row>
    <row r="69" spans="1:15" x14ac:dyDescent="0.25">
      <c r="A69" s="4"/>
      <c r="B69" s="4"/>
      <c r="C69" s="4"/>
      <c r="D69" s="4"/>
      <c r="E69" s="4"/>
      <c r="F69" s="9"/>
      <c r="G69" s="9"/>
      <c r="H69" s="9"/>
      <c r="I69" s="9"/>
      <c r="J69" s="10">
        <f>IF($B69="","",F69+G69+H69-I69)</f>
      </c>
      <c r="K69" s="11">
        <f>IF($B69="","",IF(J69&lt;=0,"Paid",IF(I69&gt;0,"Part paid","Unpaid")))</f>
      </c>
      <c r="L69" s="5"/>
      <c r="M69" s="4"/>
      <c r="N69">
        <f>IF(OR($B69="",J69&lt;=0),"",J69+ROW()/100000)</f>
      </c>
      <c r="O69">
        <f>IF(N69="","",COUNTIF($N$4:$N$203,"&gt;"&amp;N69)+1)</f>
      </c>
    </row>
    <row r="70" spans="1:15" x14ac:dyDescent="0.25">
      <c r="A70" s="4"/>
      <c r="B70" s="4"/>
      <c r="C70" s="4"/>
      <c r="D70" s="4"/>
      <c r="E70" s="4"/>
      <c r="F70" s="9"/>
      <c r="G70" s="9"/>
      <c r="H70" s="9"/>
      <c r="I70" s="9"/>
      <c r="J70" s="10">
        <f>IF($B70="","",F70+G70+H70-I70)</f>
      </c>
      <c r="K70" s="11">
        <f>IF($B70="","",IF(J70&lt;=0,"Paid",IF(I70&gt;0,"Part paid","Unpaid")))</f>
      </c>
      <c r="L70" s="5"/>
      <c r="M70" s="4"/>
      <c r="N70">
        <f>IF(OR($B70="",J70&lt;=0),"",J70+ROW()/100000)</f>
      </c>
      <c r="O70">
        <f>IF(N70="","",COUNTIF($N$4:$N$203,"&gt;"&amp;N70)+1)</f>
      </c>
    </row>
    <row r="71" spans="1:15" x14ac:dyDescent="0.25">
      <c r="A71" s="4"/>
      <c r="B71" s="4"/>
      <c r="C71" s="4"/>
      <c r="D71" s="4"/>
      <c r="E71" s="4"/>
      <c r="F71" s="9"/>
      <c r="G71" s="9"/>
      <c r="H71" s="9"/>
      <c r="I71" s="9"/>
      <c r="J71" s="10">
        <f>IF($B71="","",F71+G71+H71-I71)</f>
      </c>
      <c r="K71" s="11">
        <f>IF($B71="","",IF(J71&lt;=0,"Paid",IF(I71&gt;0,"Part paid","Unpaid")))</f>
      </c>
      <c r="L71" s="5"/>
      <c r="M71" s="4"/>
      <c r="N71">
        <f>IF(OR($B71="",J71&lt;=0),"",J71+ROW()/100000)</f>
      </c>
      <c r="O71">
        <f>IF(N71="","",COUNTIF($N$4:$N$203,"&gt;"&amp;N71)+1)</f>
      </c>
    </row>
    <row r="72" spans="1:15" x14ac:dyDescent="0.25">
      <c r="A72" s="4"/>
      <c r="B72" s="4"/>
      <c r="C72" s="4"/>
      <c r="D72" s="4"/>
      <c r="E72" s="4"/>
      <c r="F72" s="9"/>
      <c r="G72" s="9"/>
      <c r="H72" s="9"/>
      <c r="I72" s="9"/>
      <c r="J72" s="10">
        <f>IF($B72="","",F72+G72+H72-I72)</f>
      </c>
      <c r="K72" s="11">
        <f>IF($B72="","",IF(J72&lt;=0,"Paid",IF(I72&gt;0,"Part paid","Unpaid")))</f>
      </c>
      <c r="L72" s="5"/>
      <c r="M72" s="4"/>
      <c r="N72">
        <f>IF(OR($B72="",J72&lt;=0),"",J72+ROW()/100000)</f>
      </c>
      <c r="O72">
        <f>IF(N72="","",COUNTIF($N$4:$N$203,"&gt;"&amp;N72)+1)</f>
      </c>
    </row>
    <row r="73" spans="1:15" x14ac:dyDescent="0.25">
      <c r="A73" s="4"/>
      <c r="B73" s="4"/>
      <c r="C73" s="4"/>
      <c r="D73" s="4"/>
      <c r="E73" s="4"/>
      <c r="F73" s="9"/>
      <c r="G73" s="9"/>
      <c r="H73" s="9"/>
      <c r="I73" s="9"/>
      <c r="J73" s="10">
        <f>IF($B73="","",F73+G73+H73-I73)</f>
      </c>
      <c r="K73" s="11">
        <f>IF($B73="","",IF(J73&lt;=0,"Paid",IF(I73&gt;0,"Part paid","Unpaid")))</f>
      </c>
      <c r="L73" s="5"/>
      <c r="M73" s="4"/>
      <c r="N73">
        <f>IF(OR($B73="",J73&lt;=0),"",J73+ROW()/100000)</f>
      </c>
      <c r="O73">
        <f>IF(N73="","",COUNTIF($N$4:$N$203,"&gt;"&amp;N73)+1)</f>
      </c>
    </row>
    <row r="74" spans="1:15" x14ac:dyDescent="0.25">
      <c r="A74" s="4"/>
      <c r="B74" s="4"/>
      <c r="C74" s="4"/>
      <c r="D74" s="4"/>
      <c r="E74" s="4"/>
      <c r="F74" s="9"/>
      <c r="G74" s="9"/>
      <c r="H74" s="9"/>
      <c r="I74" s="9"/>
      <c r="J74" s="10">
        <f>IF($B74="","",F74+G74+H74-I74)</f>
      </c>
      <c r="K74" s="11">
        <f>IF($B74="","",IF(J74&lt;=0,"Paid",IF(I74&gt;0,"Part paid","Unpaid")))</f>
      </c>
      <c r="L74" s="5"/>
      <c r="M74" s="4"/>
      <c r="N74">
        <f>IF(OR($B74="",J74&lt;=0),"",J74+ROW()/100000)</f>
      </c>
      <c r="O74">
        <f>IF(N74="","",COUNTIF($N$4:$N$203,"&gt;"&amp;N74)+1)</f>
      </c>
    </row>
    <row r="75" spans="1:15" x14ac:dyDescent="0.25">
      <c r="A75" s="4"/>
      <c r="B75" s="4"/>
      <c r="C75" s="4"/>
      <c r="D75" s="4"/>
      <c r="E75" s="4"/>
      <c r="F75" s="9"/>
      <c r="G75" s="9"/>
      <c r="H75" s="9"/>
      <c r="I75" s="9"/>
      <c r="J75" s="10">
        <f>IF($B75="","",F75+G75+H75-I75)</f>
      </c>
      <c r="K75" s="11">
        <f>IF($B75="","",IF(J75&lt;=0,"Paid",IF(I75&gt;0,"Part paid","Unpaid")))</f>
      </c>
      <c r="L75" s="5"/>
      <c r="M75" s="4"/>
      <c r="N75">
        <f>IF(OR($B75="",J75&lt;=0),"",J75+ROW()/100000)</f>
      </c>
      <c r="O75">
        <f>IF(N75="","",COUNTIF($N$4:$N$203,"&gt;"&amp;N75)+1)</f>
      </c>
    </row>
    <row r="76" spans="1:15" x14ac:dyDescent="0.25">
      <c r="A76" s="4"/>
      <c r="B76" s="4"/>
      <c r="C76" s="4"/>
      <c r="D76" s="4"/>
      <c r="E76" s="4"/>
      <c r="F76" s="9"/>
      <c r="G76" s="9"/>
      <c r="H76" s="9"/>
      <c r="I76" s="9"/>
      <c r="J76" s="10">
        <f>IF($B76="","",F76+G76+H76-I76)</f>
      </c>
      <c r="K76" s="11">
        <f>IF($B76="","",IF(J76&lt;=0,"Paid",IF(I76&gt;0,"Part paid","Unpaid")))</f>
      </c>
      <c r="L76" s="5"/>
      <c r="M76" s="4"/>
      <c r="N76">
        <f>IF(OR($B76="",J76&lt;=0),"",J76+ROW()/100000)</f>
      </c>
      <c r="O76">
        <f>IF(N76="","",COUNTIF($N$4:$N$203,"&gt;"&amp;N76)+1)</f>
      </c>
    </row>
    <row r="77" spans="1:15" x14ac:dyDescent="0.25">
      <c r="A77" s="4"/>
      <c r="B77" s="4"/>
      <c r="C77" s="4"/>
      <c r="D77" s="4"/>
      <c r="E77" s="4"/>
      <c r="F77" s="9"/>
      <c r="G77" s="9"/>
      <c r="H77" s="9"/>
      <c r="I77" s="9"/>
      <c r="J77" s="10">
        <f>IF($B77="","",F77+G77+H77-I77)</f>
      </c>
      <c r="K77" s="11">
        <f>IF($B77="","",IF(J77&lt;=0,"Paid",IF(I77&gt;0,"Part paid","Unpaid")))</f>
      </c>
      <c r="L77" s="5"/>
      <c r="M77" s="4"/>
      <c r="N77">
        <f>IF(OR($B77="",J77&lt;=0),"",J77+ROW()/100000)</f>
      </c>
      <c r="O77">
        <f>IF(N77="","",COUNTIF($N$4:$N$203,"&gt;"&amp;N77)+1)</f>
      </c>
    </row>
    <row r="78" spans="1:15" x14ac:dyDescent="0.25">
      <c r="A78" s="4"/>
      <c r="B78" s="4"/>
      <c r="C78" s="4"/>
      <c r="D78" s="4"/>
      <c r="E78" s="4"/>
      <c r="F78" s="9"/>
      <c r="G78" s="9"/>
      <c r="H78" s="9"/>
      <c r="I78" s="9"/>
      <c r="J78" s="10">
        <f>IF($B78="","",F78+G78+H78-I78)</f>
      </c>
      <c r="K78" s="11">
        <f>IF($B78="","",IF(J78&lt;=0,"Paid",IF(I78&gt;0,"Part paid","Unpaid")))</f>
      </c>
      <c r="L78" s="5"/>
      <c r="M78" s="4"/>
      <c r="N78">
        <f>IF(OR($B78="",J78&lt;=0),"",J78+ROW()/100000)</f>
      </c>
      <c r="O78">
        <f>IF(N78="","",COUNTIF($N$4:$N$203,"&gt;"&amp;N78)+1)</f>
      </c>
    </row>
    <row r="79" spans="1:15" x14ac:dyDescent="0.25">
      <c r="A79" s="4"/>
      <c r="B79" s="4"/>
      <c r="C79" s="4"/>
      <c r="D79" s="4"/>
      <c r="E79" s="4"/>
      <c r="F79" s="9"/>
      <c r="G79" s="9"/>
      <c r="H79" s="9"/>
      <c r="I79" s="9"/>
      <c r="J79" s="10">
        <f>IF($B79="","",F79+G79+H79-I79)</f>
      </c>
      <c r="K79" s="11">
        <f>IF($B79="","",IF(J79&lt;=0,"Paid",IF(I79&gt;0,"Part paid","Unpaid")))</f>
      </c>
      <c r="L79" s="5"/>
      <c r="M79" s="4"/>
      <c r="N79">
        <f>IF(OR($B79="",J79&lt;=0),"",J79+ROW()/100000)</f>
      </c>
      <c r="O79">
        <f>IF(N79="","",COUNTIF($N$4:$N$203,"&gt;"&amp;N79)+1)</f>
      </c>
    </row>
    <row r="80" spans="1:15" x14ac:dyDescent="0.25">
      <c r="A80" s="4"/>
      <c r="B80" s="4"/>
      <c r="C80" s="4"/>
      <c r="D80" s="4"/>
      <c r="E80" s="4"/>
      <c r="F80" s="9"/>
      <c r="G80" s="9"/>
      <c r="H80" s="9"/>
      <c r="I80" s="9"/>
      <c r="J80" s="10">
        <f>IF($B80="","",F80+G80+H80-I80)</f>
      </c>
      <c r="K80" s="11">
        <f>IF($B80="","",IF(J80&lt;=0,"Paid",IF(I80&gt;0,"Part paid","Unpaid")))</f>
      </c>
      <c r="L80" s="5"/>
      <c r="M80" s="4"/>
      <c r="N80">
        <f>IF(OR($B80="",J80&lt;=0),"",J80+ROW()/100000)</f>
      </c>
      <c r="O80">
        <f>IF(N80="","",COUNTIF($N$4:$N$203,"&gt;"&amp;N80)+1)</f>
      </c>
    </row>
    <row r="81" spans="1:15" x14ac:dyDescent="0.25">
      <c r="A81" s="4"/>
      <c r="B81" s="4"/>
      <c r="C81" s="4"/>
      <c r="D81" s="4"/>
      <c r="E81" s="4"/>
      <c r="F81" s="9"/>
      <c r="G81" s="9"/>
      <c r="H81" s="9"/>
      <c r="I81" s="9"/>
      <c r="J81" s="10">
        <f>IF($B81="","",F81+G81+H81-I81)</f>
      </c>
      <c r="K81" s="11">
        <f>IF($B81="","",IF(J81&lt;=0,"Paid",IF(I81&gt;0,"Part paid","Unpaid")))</f>
      </c>
      <c r="L81" s="5"/>
      <c r="M81" s="4"/>
      <c r="N81">
        <f>IF(OR($B81="",J81&lt;=0),"",J81+ROW()/100000)</f>
      </c>
      <c r="O81">
        <f>IF(N81="","",COUNTIF($N$4:$N$203,"&gt;"&amp;N81)+1)</f>
      </c>
    </row>
    <row r="82" spans="1:15" x14ac:dyDescent="0.25">
      <c r="A82" s="4"/>
      <c r="B82" s="4"/>
      <c r="C82" s="4"/>
      <c r="D82" s="4"/>
      <c r="E82" s="4"/>
      <c r="F82" s="9"/>
      <c r="G82" s="9"/>
      <c r="H82" s="9"/>
      <c r="I82" s="9"/>
      <c r="J82" s="10">
        <f>IF($B82="","",F82+G82+H82-I82)</f>
      </c>
      <c r="K82" s="11">
        <f>IF($B82="","",IF(J82&lt;=0,"Paid",IF(I82&gt;0,"Part paid","Unpaid")))</f>
      </c>
      <c r="L82" s="5"/>
      <c r="M82" s="4"/>
      <c r="N82">
        <f>IF(OR($B82="",J82&lt;=0),"",J82+ROW()/100000)</f>
      </c>
      <c r="O82">
        <f>IF(N82="","",COUNTIF($N$4:$N$203,"&gt;"&amp;N82)+1)</f>
      </c>
    </row>
    <row r="83" spans="1:15" x14ac:dyDescent="0.25">
      <c r="A83" s="4"/>
      <c r="B83" s="4"/>
      <c r="C83" s="4"/>
      <c r="D83" s="4"/>
      <c r="E83" s="4"/>
      <c r="F83" s="9"/>
      <c r="G83" s="9"/>
      <c r="H83" s="9"/>
      <c r="I83" s="9"/>
      <c r="J83" s="10">
        <f>IF($B83="","",F83+G83+H83-I83)</f>
      </c>
      <c r="K83" s="11">
        <f>IF($B83="","",IF(J83&lt;=0,"Paid",IF(I83&gt;0,"Part paid","Unpaid")))</f>
      </c>
      <c r="L83" s="5"/>
      <c r="M83" s="4"/>
      <c r="N83">
        <f>IF(OR($B83="",J83&lt;=0),"",J83+ROW()/100000)</f>
      </c>
      <c r="O83">
        <f>IF(N83="","",COUNTIF($N$4:$N$203,"&gt;"&amp;N83)+1)</f>
      </c>
    </row>
    <row r="84" spans="1:15" x14ac:dyDescent="0.25">
      <c r="A84" s="4"/>
      <c r="B84" s="4"/>
      <c r="C84" s="4"/>
      <c r="D84" s="4"/>
      <c r="E84" s="4"/>
      <c r="F84" s="9"/>
      <c r="G84" s="9"/>
      <c r="H84" s="9"/>
      <c r="I84" s="9"/>
      <c r="J84" s="10">
        <f>IF($B84="","",F84+G84+H84-I84)</f>
      </c>
      <c r="K84" s="11">
        <f>IF($B84="","",IF(J84&lt;=0,"Paid",IF(I84&gt;0,"Part paid","Unpaid")))</f>
      </c>
      <c r="L84" s="5"/>
      <c r="M84" s="4"/>
      <c r="N84">
        <f>IF(OR($B84="",J84&lt;=0),"",J84+ROW()/100000)</f>
      </c>
      <c r="O84">
        <f>IF(N84="","",COUNTIF($N$4:$N$203,"&gt;"&amp;N84)+1)</f>
      </c>
    </row>
    <row r="85" spans="1:15" x14ac:dyDescent="0.25">
      <c r="A85" s="4"/>
      <c r="B85" s="4"/>
      <c r="C85" s="4"/>
      <c r="D85" s="4"/>
      <c r="E85" s="4"/>
      <c r="F85" s="9"/>
      <c r="G85" s="9"/>
      <c r="H85" s="9"/>
      <c r="I85" s="9"/>
      <c r="J85" s="10">
        <f>IF($B85="","",F85+G85+H85-I85)</f>
      </c>
      <c r="K85" s="11">
        <f>IF($B85="","",IF(J85&lt;=0,"Paid",IF(I85&gt;0,"Part paid","Unpaid")))</f>
      </c>
      <c r="L85" s="5"/>
      <c r="M85" s="4"/>
      <c r="N85">
        <f>IF(OR($B85="",J85&lt;=0),"",J85+ROW()/100000)</f>
      </c>
      <c r="O85">
        <f>IF(N85="","",COUNTIF($N$4:$N$203,"&gt;"&amp;N85)+1)</f>
      </c>
    </row>
    <row r="86" spans="1:15" x14ac:dyDescent="0.25">
      <c r="A86" s="4"/>
      <c r="B86" s="4"/>
      <c r="C86" s="4"/>
      <c r="D86" s="4"/>
      <c r="E86" s="4"/>
      <c r="F86" s="9"/>
      <c r="G86" s="9"/>
      <c r="H86" s="9"/>
      <c r="I86" s="9"/>
      <c r="J86" s="10">
        <f>IF($B86="","",F86+G86+H86-I86)</f>
      </c>
      <c r="K86" s="11">
        <f>IF($B86="","",IF(J86&lt;=0,"Paid",IF(I86&gt;0,"Part paid","Unpaid")))</f>
      </c>
      <c r="L86" s="5"/>
      <c r="M86" s="4"/>
      <c r="N86">
        <f>IF(OR($B86="",J86&lt;=0),"",J86+ROW()/100000)</f>
      </c>
      <c r="O86">
        <f>IF(N86="","",COUNTIF($N$4:$N$203,"&gt;"&amp;N86)+1)</f>
      </c>
    </row>
    <row r="87" spans="1:15" x14ac:dyDescent="0.25">
      <c r="A87" s="4"/>
      <c r="B87" s="4"/>
      <c r="C87" s="4"/>
      <c r="D87" s="4"/>
      <c r="E87" s="4"/>
      <c r="F87" s="9"/>
      <c r="G87" s="9"/>
      <c r="H87" s="9"/>
      <c r="I87" s="9"/>
      <c r="J87" s="10">
        <f>IF($B87="","",F87+G87+H87-I87)</f>
      </c>
      <c r="K87" s="11">
        <f>IF($B87="","",IF(J87&lt;=0,"Paid",IF(I87&gt;0,"Part paid","Unpaid")))</f>
      </c>
      <c r="L87" s="5"/>
      <c r="M87" s="4"/>
      <c r="N87">
        <f>IF(OR($B87="",J87&lt;=0),"",J87+ROW()/100000)</f>
      </c>
      <c r="O87">
        <f>IF(N87="","",COUNTIF($N$4:$N$203,"&gt;"&amp;N87)+1)</f>
      </c>
    </row>
    <row r="88" spans="1:15" x14ac:dyDescent="0.25">
      <c r="A88" s="4"/>
      <c r="B88" s="4"/>
      <c r="C88" s="4"/>
      <c r="D88" s="4"/>
      <c r="E88" s="4"/>
      <c r="F88" s="9"/>
      <c r="G88" s="9"/>
      <c r="H88" s="9"/>
      <c r="I88" s="9"/>
      <c r="J88" s="10">
        <f>IF($B88="","",F88+G88+H88-I88)</f>
      </c>
      <c r="K88" s="11">
        <f>IF($B88="","",IF(J88&lt;=0,"Paid",IF(I88&gt;0,"Part paid","Unpaid")))</f>
      </c>
      <c r="L88" s="5"/>
      <c r="M88" s="4"/>
      <c r="N88">
        <f>IF(OR($B88="",J88&lt;=0),"",J88+ROW()/100000)</f>
      </c>
      <c r="O88">
        <f>IF(N88="","",COUNTIF($N$4:$N$203,"&gt;"&amp;N88)+1)</f>
      </c>
    </row>
    <row r="89" spans="1:15" x14ac:dyDescent="0.25">
      <c r="A89" s="4"/>
      <c r="B89" s="4"/>
      <c r="C89" s="4"/>
      <c r="D89" s="4"/>
      <c r="E89" s="4"/>
      <c r="F89" s="9"/>
      <c r="G89" s="9"/>
      <c r="H89" s="9"/>
      <c r="I89" s="9"/>
      <c r="J89" s="10">
        <f>IF($B89="","",F89+G89+H89-I89)</f>
      </c>
      <c r="K89" s="11">
        <f>IF($B89="","",IF(J89&lt;=0,"Paid",IF(I89&gt;0,"Part paid","Unpaid")))</f>
      </c>
      <c r="L89" s="5"/>
      <c r="M89" s="4"/>
      <c r="N89">
        <f>IF(OR($B89="",J89&lt;=0),"",J89+ROW()/100000)</f>
      </c>
      <c r="O89">
        <f>IF(N89="","",COUNTIF($N$4:$N$203,"&gt;"&amp;N89)+1)</f>
      </c>
    </row>
    <row r="90" spans="1:15" x14ac:dyDescent="0.25">
      <c r="A90" s="4"/>
      <c r="B90" s="4"/>
      <c r="C90" s="4"/>
      <c r="D90" s="4"/>
      <c r="E90" s="4"/>
      <c r="F90" s="9"/>
      <c r="G90" s="9"/>
      <c r="H90" s="9"/>
      <c r="I90" s="9"/>
      <c r="J90" s="10">
        <f>IF($B90="","",F90+G90+H90-I90)</f>
      </c>
      <c r="K90" s="11">
        <f>IF($B90="","",IF(J90&lt;=0,"Paid",IF(I90&gt;0,"Part paid","Unpaid")))</f>
      </c>
      <c r="L90" s="5"/>
      <c r="M90" s="4"/>
      <c r="N90">
        <f>IF(OR($B90="",J90&lt;=0),"",J90+ROW()/100000)</f>
      </c>
      <c r="O90">
        <f>IF(N90="","",COUNTIF($N$4:$N$203,"&gt;"&amp;N90)+1)</f>
      </c>
    </row>
    <row r="91" spans="1:15" x14ac:dyDescent="0.25">
      <c r="A91" s="4"/>
      <c r="B91" s="4"/>
      <c r="C91" s="4"/>
      <c r="D91" s="4"/>
      <c r="E91" s="4"/>
      <c r="F91" s="9"/>
      <c r="G91" s="9"/>
      <c r="H91" s="9"/>
      <c r="I91" s="9"/>
      <c r="J91" s="10">
        <f>IF($B91="","",F91+G91+H91-I91)</f>
      </c>
      <c r="K91" s="11">
        <f>IF($B91="","",IF(J91&lt;=0,"Paid",IF(I91&gt;0,"Part paid","Unpaid")))</f>
      </c>
      <c r="L91" s="5"/>
      <c r="M91" s="4"/>
      <c r="N91">
        <f>IF(OR($B91="",J91&lt;=0),"",J91+ROW()/100000)</f>
      </c>
      <c r="O91">
        <f>IF(N91="","",COUNTIF($N$4:$N$203,"&gt;"&amp;N91)+1)</f>
      </c>
    </row>
    <row r="92" spans="1:15" x14ac:dyDescent="0.25">
      <c r="A92" s="4"/>
      <c r="B92" s="4"/>
      <c r="C92" s="4"/>
      <c r="D92" s="4"/>
      <c r="E92" s="4"/>
      <c r="F92" s="9"/>
      <c r="G92" s="9"/>
      <c r="H92" s="9"/>
      <c r="I92" s="9"/>
      <c r="J92" s="10">
        <f>IF($B92="","",F92+G92+H92-I92)</f>
      </c>
      <c r="K92" s="11">
        <f>IF($B92="","",IF(J92&lt;=0,"Paid",IF(I92&gt;0,"Part paid","Unpaid")))</f>
      </c>
      <c r="L92" s="5"/>
      <c r="M92" s="4"/>
      <c r="N92">
        <f>IF(OR($B92="",J92&lt;=0),"",J92+ROW()/100000)</f>
      </c>
      <c r="O92">
        <f>IF(N92="","",COUNTIF($N$4:$N$203,"&gt;"&amp;N92)+1)</f>
      </c>
    </row>
    <row r="93" spans="1:15" x14ac:dyDescent="0.25">
      <c r="A93" s="4"/>
      <c r="B93" s="4"/>
      <c r="C93" s="4"/>
      <c r="D93" s="4"/>
      <c r="E93" s="4"/>
      <c r="F93" s="9"/>
      <c r="G93" s="9"/>
      <c r="H93" s="9"/>
      <c r="I93" s="9"/>
      <c r="J93" s="10">
        <f>IF($B93="","",F93+G93+H93-I93)</f>
      </c>
      <c r="K93" s="11">
        <f>IF($B93="","",IF(J93&lt;=0,"Paid",IF(I93&gt;0,"Part paid","Unpaid")))</f>
      </c>
      <c r="L93" s="5"/>
      <c r="M93" s="4"/>
      <c r="N93">
        <f>IF(OR($B93="",J93&lt;=0),"",J93+ROW()/100000)</f>
      </c>
      <c r="O93">
        <f>IF(N93="","",COUNTIF($N$4:$N$203,"&gt;"&amp;N93)+1)</f>
      </c>
    </row>
    <row r="94" spans="1:15" x14ac:dyDescent="0.25">
      <c r="A94" s="4"/>
      <c r="B94" s="4"/>
      <c r="C94" s="4"/>
      <c r="D94" s="4"/>
      <c r="E94" s="4"/>
      <c r="F94" s="9"/>
      <c r="G94" s="9"/>
      <c r="H94" s="9"/>
      <c r="I94" s="9"/>
      <c r="J94" s="10">
        <f>IF($B94="","",F94+G94+H94-I94)</f>
      </c>
      <c r="K94" s="11">
        <f>IF($B94="","",IF(J94&lt;=0,"Paid",IF(I94&gt;0,"Part paid","Unpaid")))</f>
      </c>
      <c r="L94" s="5"/>
      <c r="M94" s="4"/>
      <c r="N94">
        <f>IF(OR($B94="",J94&lt;=0),"",J94+ROW()/100000)</f>
      </c>
      <c r="O94">
        <f>IF(N94="","",COUNTIF($N$4:$N$203,"&gt;"&amp;N94)+1)</f>
      </c>
    </row>
    <row r="95" spans="1:15" x14ac:dyDescent="0.25">
      <c r="A95" s="4"/>
      <c r="B95" s="4"/>
      <c r="C95" s="4"/>
      <c r="D95" s="4"/>
      <c r="E95" s="4"/>
      <c r="F95" s="9"/>
      <c r="G95" s="9"/>
      <c r="H95" s="9"/>
      <c r="I95" s="9"/>
      <c r="J95" s="10">
        <f>IF($B95="","",F95+G95+H95-I95)</f>
      </c>
      <c r="K95" s="11">
        <f>IF($B95="","",IF(J95&lt;=0,"Paid",IF(I95&gt;0,"Part paid","Unpaid")))</f>
      </c>
      <c r="L95" s="5"/>
      <c r="M95" s="4"/>
      <c r="N95">
        <f>IF(OR($B95="",J95&lt;=0),"",J95+ROW()/100000)</f>
      </c>
      <c r="O95">
        <f>IF(N95="","",COUNTIF($N$4:$N$203,"&gt;"&amp;N95)+1)</f>
      </c>
    </row>
    <row r="96" spans="1:15" x14ac:dyDescent="0.25">
      <c r="A96" s="4"/>
      <c r="B96" s="4"/>
      <c r="C96" s="4"/>
      <c r="D96" s="4"/>
      <c r="E96" s="4"/>
      <c r="F96" s="9"/>
      <c r="G96" s="9"/>
      <c r="H96" s="9"/>
      <c r="I96" s="9"/>
      <c r="J96" s="10">
        <f>IF($B96="","",F96+G96+H96-I96)</f>
      </c>
      <c r="K96" s="11">
        <f>IF($B96="","",IF(J96&lt;=0,"Paid",IF(I96&gt;0,"Part paid","Unpaid")))</f>
      </c>
      <c r="L96" s="5"/>
      <c r="M96" s="4"/>
      <c r="N96">
        <f>IF(OR($B96="",J96&lt;=0),"",J96+ROW()/100000)</f>
      </c>
      <c r="O96">
        <f>IF(N96="","",COUNTIF($N$4:$N$203,"&gt;"&amp;N96)+1)</f>
      </c>
    </row>
    <row r="97" spans="1:15" x14ac:dyDescent="0.25">
      <c r="A97" s="4"/>
      <c r="B97" s="4"/>
      <c r="C97" s="4"/>
      <c r="D97" s="4"/>
      <c r="E97" s="4"/>
      <c r="F97" s="9"/>
      <c r="G97" s="9"/>
      <c r="H97" s="9"/>
      <c r="I97" s="9"/>
      <c r="J97" s="10">
        <f>IF($B97="","",F97+G97+H97-I97)</f>
      </c>
      <c r="K97" s="11">
        <f>IF($B97="","",IF(J97&lt;=0,"Paid",IF(I97&gt;0,"Part paid","Unpaid")))</f>
      </c>
      <c r="L97" s="5"/>
      <c r="M97" s="4"/>
      <c r="N97">
        <f>IF(OR($B97="",J97&lt;=0),"",J97+ROW()/100000)</f>
      </c>
      <c r="O97">
        <f>IF(N97="","",COUNTIF($N$4:$N$203,"&gt;"&amp;N97)+1)</f>
      </c>
    </row>
    <row r="98" spans="1:15" x14ac:dyDescent="0.25">
      <c r="A98" s="4"/>
      <c r="B98" s="4"/>
      <c r="C98" s="4"/>
      <c r="D98" s="4"/>
      <c r="E98" s="4"/>
      <c r="F98" s="9"/>
      <c r="G98" s="9"/>
      <c r="H98" s="9"/>
      <c r="I98" s="9"/>
      <c r="J98" s="10">
        <f>IF($B98="","",F98+G98+H98-I98)</f>
      </c>
      <c r="K98" s="11">
        <f>IF($B98="","",IF(J98&lt;=0,"Paid",IF(I98&gt;0,"Part paid","Unpaid")))</f>
      </c>
      <c r="L98" s="5"/>
      <c r="M98" s="4"/>
      <c r="N98">
        <f>IF(OR($B98="",J98&lt;=0),"",J98+ROW()/100000)</f>
      </c>
      <c r="O98">
        <f>IF(N98="","",COUNTIF($N$4:$N$203,"&gt;"&amp;N98)+1)</f>
      </c>
    </row>
    <row r="99" spans="1:15" x14ac:dyDescent="0.25">
      <c r="A99" s="4"/>
      <c r="B99" s="4"/>
      <c r="C99" s="4"/>
      <c r="D99" s="4"/>
      <c r="E99" s="4"/>
      <c r="F99" s="9"/>
      <c r="G99" s="9"/>
      <c r="H99" s="9"/>
      <c r="I99" s="9"/>
      <c r="J99" s="10">
        <f>IF($B99="","",F99+G99+H99-I99)</f>
      </c>
      <c r="K99" s="11">
        <f>IF($B99="","",IF(J99&lt;=0,"Paid",IF(I99&gt;0,"Part paid","Unpaid")))</f>
      </c>
      <c r="L99" s="5"/>
      <c r="M99" s="4"/>
      <c r="N99">
        <f>IF(OR($B99="",J99&lt;=0),"",J99+ROW()/100000)</f>
      </c>
      <c r="O99">
        <f>IF(N99="","",COUNTIF($N$4:$N$203,"&gt;"&amp;N99)+1)</f>
      </c>
    </row>
    <row r="100" spans="1:15" x14ac:dyDescent="0.25">
      <c r="A100" s="4"/>
      <c r="B100" s="4"/>
      <c r="C100" s="4"/>
      <c r="D100" s="4"/>
      <c r="E100" s="4"/>
      <c r="F100" s="9"/>
      <c r="G100" s="9"/>
      <c r="H100" s="9"/>
      <c r="I100" s="9"/>
      <c r="J100" s="10">
        <f>IF($B100="","",F100+G100+H100-I100)</f>
      </c>
      <c r="K100" s="11">
        <f>IF($B100="","",IF(J100&lt;=0,"Paid",IF(I100&gt;0,"Part paid","Unpaid")))</f>
      </c>
      <c r="L100" s="5"/>
      <c r="M100" s="4"/>
      <c r="N100">
        <f>IF(OR($B100="",J100&lt;=0),"",J100+ROW()/100000)</f>
      </c>
      <c r="O100">
        <f>IF(N100="","",COUNTIF($N$4:$N$203,"&gt;"&amp;N100)+1)</f>
      </c>
    </row>
    <row r="101" spans="1:15" x14ac:dyDescent="0.25">
      <c r="A101" s="4"/>
      <c r="B101" s="4"/>
      <c r="C101" s="4"/>
      <c r="D101" s="4"/>
      <c r="E101" s="4"/>
      <c r="F101" s="9"/>
      <c r="G101" s="9"/>
      <c r="H101" s="9"/>
      <c r="I101" s="9"/>
      <c r="J101" s="10">
        <f>IF($B101="","",F101+G101+H101-I101)</f>
      </c>
      <c r="K101" s="11">
        <f>IF($B101="","",IF(J101&lt;=0,"Paid",IF(I101&gt;0,"Part paid","Unpaid")))</f>
      </c>
      <c r="L101" s="5"/>
      <c r="M101" s="4"/>
      <c r="N101">
        <f>IF(OR($B101="",J101&lt;=0),"",J101+ROW()/100000)</f>
      </c>
      <c r="O101">
        <f>IF(N101="","",COUNTIF($N$4:$N$203,"&gt;"&amp;N101)+1)</f>
      </c>
    </row>
    <row r="102" spans="1:15" x14ac:dyDescent="0.25">
      <c r="A102" s="4"/>
      <c r="B102" s="4"/>
      <c r="C102" s="4"/>
      <c r="D102" s="4"/>
      <c r="E102" s="4"/>
      <c r="F102" s="9"/>
      <c r="G102" s="9"/>
      <c r="H102" s="9"/>
      <c r="I102" s="9"/>
      <c r="J102" s="10">
        <f>IF($B102="","",F102+G102+H102-I102)</f>
      </c>
      <c r="K102" s="11">
        <f>IF($B102="","",IF(J102&lt;=0,"Paid",IF(I102&gt;0,"Part paid","Unpaid")))</f>
      </c>
      <c r="L102" s="5"/>
      <c r="M102" s="4"/>
      <c r="N102">
        <f>IF(OR($B102="",J102&lt;=0),"",J102+ROW()/100000)</f>
      </c>
      <c r="O102">
        <f>IF(N102="","",COUNTIF($N$4:$N$203,"&gt;"&amp;N102)+1)</f>
      </c>
    </row>
    <row r="103" spans="1:15" x14ac:dyDescent="0.25">
      <c r="A103" s="4"/>
      <c r="B103" s="4"/>
      <c r="C103" s="4"/>
      <c r="D103" s="4"/>
      <c r="E103" s="4"/>
      <c r="F103" s="9"/>
      <c r="G103" s="9"/>
      <c r="H103" s="9"/>
      <c r="I103" s="9"/>
      <c r="J103" s="10">
        <f>IF($B103="","",F103+G103+H103-I103)</f>
      </c>
      <c r="K103" s="11">
        <f>IF($B103="","",IF(J103&lt;=0,"Paid",IF(I103&gt;0,"Part paid","Unpaid")))</f>
      </c>
      <c r="L103" s="5"/>
      <c r="M103" s="4"/>
      <c r="N103">
        <f>IF(OR($B103="",J103&lt;=0),"",J103+ROW()/100000)</f>
      </c>
      <c r="O103">
        <f>IF(N103="","",COUNTIF($N$4:$N$203,"&gt;"&amp;N103)+1)</f>
      </c>
    </row>
    <row r="104" spans="1:15" x14ac:dyDescent="0.25">
      <c r="A104" s="4"/>
      <c r="B104" s="4"/>
      <c r="C104" s="4"/>
      <c r="D104" s="4"/>
      <c r="E104" s="4"/>
      <c r="F104" s="9"/>
      <c r="G104" s="9"/>
      <c r="H104" s="9"/>
      <c r="I104" s="9"/>
      <c r="J104" s="10">
        <f>IF($B104="","",F104+G104+H104-I104)</f>
      </c>
      <c r="K104" s="11">
        <f>IF($B104="","",IF(J104&lt;=0,"Paid",IF(I104&gt;0,"Part paid","Unpaid")))</f>
      </c>
      <c r="L104" s="5"/>
      <c r="M104" s="4"/>
      <c r="N104">
        <f>IF(OR($B104="",J104&lt;=0),"",J104+ROW()/100000)</f>
      </c>
      <c r="O104">
        <f>IF(N104="","",COUNTIF($N$4:$N$203,"&gt;"&amp;N104)+1)</f>
      </c>
    </row>
    <row r="105" spans="1:15" x14ac:dyDescent="0.25">
      <c r="A105" s="4"/>
      <c r="B105" s="4"/>
      <c r="C105" s="4"/>
      <c r="D105" s="4"/>
      <c r="E105" s="4"/>
      <c r="F105" s="9"/>
      <c r="G105" s="9"/>
      <c r="H105" s="9"/>
      <c r="I105" s="9"/>
      <c r="J105" s="10">
        <f>IF($B105="","",F105+G105+H105-I105)</f>
      </c>
      <c r="K105" s="11">
        <f>IF($B105="","",IF(J105&lt;=0,"Paid",IF(I105&gt;0,"Part paid","Unpaid")))</f>
      </c>
      <c r="L105" s="5"/>
      <c r="M105" s="4"/>
      <c r="N105">
        <f>IF(OR($B105="",J105&lt;=0),"",J105+ROW()/100000)</f>
      </c>
      <c r="O105">
        <f>IF(N105="","",COUNTIF($N$4:$N$203,"&gt;"&amp;N105)+1)</f>
      </c>
    </row>
    <row r="106" spans="1:15" x14ac:dyDescent="0.25">
      <c r="A106" s="4"/>
      <c r="B106" s="4"/>
      <c r="C106" s="4"/>
      <c r="D106" s="4"/>
      <c r="E106" s="4"/>
      <c r="F106" s="9"/>
      <c r="G106" s="9"/>
      <c r="H106" s="9"/>
      <c r="I106" s="9"/>
      <c r="J106" s="10">
        <f>IF($B106="","",F106+G106+H106-I106)</f>
      </c>
      <c r="K106" s="11">
        <f>IF($B106="","",IF(J106&lt;=0,"Paid",IF(I106&gt;0,"Part paid","Unpaid")))</f>
      </c>
      <c r="L106" s="5"/>
      <c r="M106" s="4"/>
      <c r="N106">
        <f>IF(OR($B106="",J106&lt;=0),"",J106+ROW()/100000)</f>
      </c>
      <c r="O106">
        <f>IF(N106="","",COUNTIF($N$4:$N$203,"&gt;"&amp;N106)+1)</f>
      </c>
    </row>
    <row r="107" spans="1:15" x14ac:dyDescent="0.25">
      <c r="A107" s="4"/>
      <c r="B107" s="4"/>
      <c r="C107" s="4"/>
      <c r="D107" s="4"/>
      <c r="E107" s="4"/>
      <c r="F107" s="9"/>
      <c r="G107" s="9"/>
      <c r="H107" s="9"/>
      <c r="I107" s="9"/>
      <c r="J107" s="10">
        <f>IF($B107="","",F107+G107+H107-I107)</f>
      </c>
      <c r="K107" s="11">
        <f>IF($B107="","",IF(J107&lt;=0,"Paid",IF(I107&gt;0,"Part paid","Unpaid")))</f>
      </c>
      <c r="L107" s="5"/>
      <c r="M107" s="4"/>
      <c r="N107">
        <f>IF(OR($B107="",J107&lt;=0),"",J107+ROW()/100000)</f>
      </c>
      <c r="O107">
        <f>IF(N107="","",COUNTIF($N$4:$N$203,"&gt;"&amp;N107)+1)</f>
      </c>
    </row>
    <row r="108" spans="1:15" x14ac:dyDescent="0.25">
      <c r="A108" s="4"/>
      <c r="B108" s="4"/>
      <c r="C108" s="4"/>
      <c r="D108" s="4"/>
      <c r="E108" s="4"/>
      <c r="F108" s="9"/>
      <c r="G108" s="9"/>
      <c r="H108" s="9"/>
      <c r="I108" s="9"/>
      <c r="J108" s="10">
        <f>IF($B108="","",F108+G108+H108-I108)</f>
      </c>
      <c r="K108" s="11">
        <f>IF($B108="","",IF(J108&lt;=0,"Paid",IF(I108&gt;0,"Part paid","Unpaid")))</f>
      </c>
      <c r="L108" s="5"/>
      <c r="M108" s="4"/>
      <c r="N108">
        <f>IF(OR($B108="",J108&lt;=0),"",J108+ROW()/100000)</f>
      </c>
      <c r="O108">
        <f>IF(N108="","",COUNTIF($N$4:$N$203,"&gt;"&amp;N108)+1)</f>
      </c>
    </row>
    <row r="109" spans="1:15" x14ac:dyDescent="0.25">
      <c r="A109" s="4"/>
      <c r="B109" s="4"/>
      <c r="C109" s="4"/>
      <c r="D109" s="4"/>
      <c r="E109" s="4"/>
      <c r="F109" s="9"/>
      <c r="G109" s="9"/>
      <c r="H109" s="9"/>
      <c r="I109" s="9"/>
      <c r="J109" s="10">
        <f>IF($B109="","",F109+G109+H109-I109)</f>
      </c>
      <c r="K109" s="11">
        <f>IF($B109="","",IF(J109&lt;=0,"Paid",IF(I109&gt;0,"Part paid","Unpaid")))</f>
      </c>
      <c r="L109" s="5"/>
      <c r="M109" s="4"/>
      <c r="N109">
        <f>IF(OR($B109="",J109&lt;=0),"",J109+ROW()/100000)</f>
      </c>
      <c r="O109">
        <f>IF(N109="","",COUNTIF($N$4:$N$203,"&gt;"&amp;N109)+1)</f>
      </c>
    </row>
    <row r="110" spans="1:15" x14ac:dyDescent="0.25">
      <c r="A110" s="4"/>
      <c r="B110" s="4"/>
      <c r="C110" s="4"/>
      <c r="D110" s="4"/>
      <c r="E110" s="4"/>
      <c r="F110" s="9"/>
      <c r="G110" s="9"/>
      <c r="H110" s="9"/>
      <c r="I110" s="9"/>
      <c r="J110" s="10">
        <f>IF($B110="","",F110+G110+H110-I110)</f>
      </c>
      <c r="K110" s="11">
        <f>IF($B110="","",IF(J110&lt;=0,"Paid",IF(I110&gt;0,"Part paid","Unpaid")))</f>
      </c>
      <c r="L110" s="5"/>
      <c r="M110" s="4"/>
      <c r="N110">
        <f>IF(OR($B110="",J110&lt;=0),"",J110+ROW()/100000)</f>
      </c>
      <c r="O110">
        <f>IF(N110="","",COUNTIF($N$4:$N$203,"&gt;"&amp;N110)+1)</f>
      </c>
    </row>
    <row r="111" spans="1:15" x14ac:dyDescent="0.25">
      <c r="A111" s="4"/>
      <c r="B111" s="4"/>
      <c r="C111" s="4"/>
      <c r="D111" s="4"/>
      <c r="E111" s="4"/>
      <c r="F111" s="9"/>
      <c r="G111" s="9"/>
      <c r="H111" s="9"/>
      <c r="I111" s="9"/>
      <c r="J111" s="10">
        <f>IF($B111="","",F111+G111+H111-I111)</f>
      </c>
      <c r="K111" s="11">
        <f>IF($B111="","",IF(J111&lt;=0,"Paid",IF(I111&gt;0,"Part paid","Unpaid")))</f>
      </c>
      <c r="L111" s="5"/>
      <c r="M111" s="4"/>
      <c r="N111">
        <f>IF(OR($B111="",J111&lt;=0),"",J111+ROW()/100000)</f>
      </c>
      <c r="O111">
        <f>IF(N111="","",COUNTIF($N$4:$N$203,"&gt;"&amp;N111)+1)</f>
      </c>
    </row>
    <row r="112" spans="1:15" x14ac:dyDescent="0.25">
      <c r="A112" s="4"/>
      <c r="B112" s="4"/>
      <c r="C112" s="4"/>
      <c r="D112" s="4"/>
      <c r="E112" s="4"/>
      <c r="F112" s="9"/>
      <c r="G112" s="9"/>
      <c r="H112" s="9"/>
      <c r="I112" s="9"/>
      <c r="J112" s="10">
        <f>IF($B112="","",F112+G112+H112-I112)</f>
      </c>
      <c r="K112" s="11">
        <f>IF($B112="","",IF(J112&lt;=0,"Paid",IF(I112&gt;0,"Part paid","Unpaid")))</f>
      </c>
      <c r="L112" s="5"/>
      <c r="M112" s="4"/>
      <c r="N112">
        <f>IF(OR($B112="",J112&lt;=0),"",J112+ROW()/100000)</f>
      </c>
      <c r="O112">
        <f>IF(N112="","",COUNTIF($N$4:$N$203,"&gt;"&amp;N112)+1)</f>
      </c>
    </row>
    <row r="113" spans="1:15" x14ac:dyDescent="0.25">
      <c r="A113" s="4"/>
      <c r="B113" s="4"/>
      <c r="C113" s="4"/>
      <c r="D113" s="4"/>
      <c r="E113" s="4"/>
      <c r="F113" s="9"/>
      <c r="G113" s="9"/>
      <c r="H113" s="9"/>
      <c r="I113" s="9"/>
      <c r="J113" s="10">
        <f>IF($B113="","",F113+G113+H113-I113)</f>
      </c>
      <c r="K113" s="11">
        <f>IF($B113="","",IF(J113&lt;=0,"Paid",IF(I113&gt;0,"Part paid","Unpaid")))</f>
      </c>
      <c r="L113" s="5"/>
      <c r="M113" s="4"/>
      <c r="N113">
        <f>IF(OR($B113="",J113&lt;=0),"",J113+ROW()/100000)</f>
      </c>
      <c r="O113">
        <f>IF(N113="","",COUNTIF($N$4:$N$203,"&gt;"&amp;N113)+1)</f>
      </c>
    </row>
    <row r="114" spans="1:15" x14ac:dyDescent="0.25">
      <c r="A114" s="4"/>
      <c r="B114" s="4"/>
      <c r="C114" s="4"/>
      <c r="D114" s="4"/>
      <c r="E114" s="4"/>
      <c r="F114" s="9"/>
      <c r="G114" s="9"/>
      <c r="H114" s="9"/>
      <c r="I114" s="9"/>
      <c r="J114" s="10">
        <f>IF($B114="","",F114+G114+H114-I114)</f>
      </c>
      <c r="K114" s="11">
        <f>IF($B114="","",IF(J114&lt;=0,"Paid",IF(I114&gt;0,"Part paid","Unpaid")))</f>
      </c>
      <c r="L114" s="5"/>
      <c r="M114" s="4"/>
      <c r="N114">
        <f>IF(OR($B114="",J114&lt;=0),"",J114+ROW()/100000)</f>
      </c>
      <c r="O114">
        <f>IF(N114="","",COUNTIF($N$4:$N$203,"&gt;"&amp;N114)+1)</f>
      </c>
    </row>
    <row r="115" spans="1:15" x14ac:dyDescent="0.25">
      <c r="A115" s="4"/>
      <c r="B115" s="4"/>
      <c r="C115" s="4"/>
      <c r="D115" s="4"/>
      <c r="E115" s="4"/>
      <c r="F115" s="9"/>
      <c r="G115" s="9"/>
      <c r="H115" s="9"/>
      <c r="I115" s="9"/>
      <c r="J115" s="10">
        <f>IF($B115="","",F115+G115+H115-I115)</f>
      </c>
      <c r="K115" s="11">
        <f>IF($B115="","",IF(J115&lt;=0,"Paid",IF(I115&gt;0,"Part paid","Unpaid")))</f>
      </c>
      <c r="L115" s="5"/>
      <c r="M115" s="4"/>
      <c r="N115">
        <f>IF(OR($B115="",J115&lt;=0),"",J115+ROW()/100000)</f>
      </c>
      <c r="O115">
        <f>IF(N115="","",COUNTIF($N$4:$N$203,"&gt;"&amp;N115)+1)</f>
      </c>
    </row>
    <row r="116" spans="1:15" x14ac:dyDescent="0.25">
      <c r="A116" s="4"/>
      <c r="B116" s="4"/>
      <c r="C116" s="4"/>
      <c r="D116" s="4"/>
      <c r="E116" s="4"/>
      <c r="F116" s="9"/>
      <c r="G116" s="9"/>
      <c r="H116" s="9"/>
      <c r="I116" s="9"/>
      <c r="J116" s="10">
        <f>IF($B116="","",F116+G116+H116-I116)</f>
      </c>
      <c r="K116" s="11">
        <f>IF($B116="","",IF(J116&lt;=0,"Paid",IF(I116&gt;0,"Part paid","Unpaid")))</f>
      </c>
      <c r="L116" s="5"/>
      <c r="M116" s="4"/>
      <c r="N116">
        <f>IF(OR($B116="",J116&lt;=0),"",J116+ROW()/100000)</f>
      </c>
      <c r="O116">
        <f>IF(N116="","",COUNTIF($N$4:$N$203,"&gt;"&amp;N116)+1)</f>
      </c>
    </row>
    <row r="117" spans="1:15" x14ac:dyDescent="0.25">
      <c r="A117" s="4"/>
      <c r="B117" s="4"/>
      <c r="C117" s="4"/>
      <c r="D117" s="4"/>
      <c r="E117" s="4"/>
      <c r="F117" s="9"/>
      <c r="G117" s="9"/>
      <c r="H117" s="9"/>
      <c r="I117" s="9"/>
      <c r="J117" s="10">
        <f>IF($B117="","",F117+G117+H117-I117)</f>
      </c>
      <c r="K117" s="11">
        <f>IF($B117="","",IF(J117&lt;=0,"Paid",IF(I117&gt;0,"Part paid","Unpaid")))</f>
      </c>
      <c r="L117" s="5"/>
      <c r="M117" s="4"/>
      <c r="N117">
        <f>IF(OR($B117="",J117&lt;=0),"",J117+ROW()/100000)</f>
      </c>
      <c r="O117">
        <f>IF(N117="","",COUNTIF($N$4:$N$203,"&gt;"&amp;N117)+1)</f>
      </c>
    </row>
    <row r="118" spans="1:15" x14ac:dyDescent="0.25">
      <c r="A118" s="4"/>
      <c r="B118" s="4"/>
      <c r="C118" s="4"/>
      <c r="D118" s="4"/>
      <c r="E118" s="4"/>
      <c r="F118" s="9"/>
      <c r="G118" s="9"/>
      <c r="H118" s="9"/>
      <c r="I118" s="9"/>
      <c r="J118" s="10">
        <f>IF($B118="","",F118+G118+H118-I118)</f>
      </c>
      <c r="K118" s="11">
        <f>IF($B118="","",IF(J118&lt;=0,"Paid",IF(I118&gt;0,"Part paid","Unpaid")))</f>
      </c>
      <c r="L118" s="5"/>
      <c r="M118" s="4"/>
      <c r="N118">
        <f>IF(OR($B118="",J118&lt;=0),"",J118+ROW()/100000)</f>
      </c>
      <c r="O118">
        <f>IF(N118="","",COUNTIF($N$4:$N$203,"&gt;"&amp;N118)+1)</f>
      </c>
    </row>
    <row r="119" spans="1:15" x14ac:dyDescent="0.25">
      <c r="A119" s="4"/>
      <c r="B119" s="4"/>
      <c r="C119" s="4"/>
      <c r="D119" s="4"/>
      <c r="E119" s="4"/>
      <c r="F119" s="9"/>
      <c r="G119" s="9"/>
      <c r="H119" s="9"/>
      <c r="I119" s="9"/>
      <c r="J119" s="10">
        <f>IF($B119="","",F119+G119+H119-I119)</f>
      </c>
      <c r="K119" s="11">
        <f>IF($B119="","",IF(J119&lt;=0,"Paid",IF(I119&gt;0,"Part paid","Unpaid")))</f>
      </c>
      <c r="L119" s="5"/>
      <c r="M119" s="4"/>
      <c r="N119">
        <f>IF(OR($B119="",J119&lt;=0),"",J119+ROW()/100000)</f>
      </c>
      <c r="O119">
        <f>IF(N119="","",COUNTIF($N$4:$N$203,"&gt;"&amp;N119)+1)</f>
      </c>
    </row>
    <row r="120" spans="1:15" x14ac:dyDescent="0.25">
      <c r="A120" s="4"/>
      <c r="B120" s="4"/>
      <c r="C120" s="4"/>
      <c r="D120" s="4"/>
      <c r="E120" s="4"/>
      <c r="F120" s="9"/>
      <c r="G120" s="9"/>
      <c r="H120" s="9"/>
      <c r="I120" s="9"/>
      <c r="J120" s="10">
        <f>IF($B120="","",F120+G120+H120-I120)</f>
      </c>
      <c r="K120" s="11">
        <f>IF($B120="","",IF(J120&lt;=0,"Paid",IF(I120&gt;0,"Part paid","Unpaid")))</f>
      </c>
      <c r="L120" s="5"/>
      <c r="M120" s="4"/>
      <c r="N120">
        <f>IF(OR($B120="",J120&lt;=0),"",J120+ROW()/100000)</f>
      </c>
      <c r="O120">
        <f>IF(N120="","",COUNTIF($N$4:$N$203,"&gt;"&amp;N120)+1)</f>
      </c>
    </row>
    <row r="121" spans="1:15" x14ac:dyDescent="0.25">
      <c r="A121" s="4"/>
      <c r="B121" s="4"/>
      <c r="C121" s="4"/>
      <c r="D121" s="4"/>
      <c r="E121" s="4"/>
      <c r="F121" s="9"/>
      <c r="G121" s="9"/>
      <c r="H121" s="9"/>
      <c r="I121" s="9"/>
      <c r="J121" s="10">
        <f>IF($B121="","",F121+G121+H121-I121)</f>
      </c>
      <c r="K121" s="11">
        <f>IF($B121="","",IF(J121&lt;=0,"Paid",IF(I121&gt;0,"Part paid","Unpaid")))</f>
      </c>
      <c r="L121" s="5"/>
      <c r="M121" s="4"/>
      <c r="N121">
        <f>IF(OR($B121="",J121&lt;=0),"",J121+ROW()/100000)</f>
      </c>
      <c r="O121">
        <f>IF(N121="","",COUNTIF($N$4:$N$203,"&gt;"&amp;N121)+1)</f>
      </c>
    </row>
    <row r="122" spans="1:15" x14ac:dyDescent="0.25">
      <c r="A122" s="4"/>
      <c r="B122" s="4"/>
      <c r="C122" s="4"/>
      <c r="D122" s="4"/>
      <c r="E122" s="4"/>
      <c r="F122" s="9"/>
      <c r="G122" s="9"/>
      <c r="H122" s="9"/>
      <c r="I122" s="9"/>
      <c r="J122" s="10">
        <f>IF($B122="","",F122+G122+H122-I122)</f>
      </c>
      <c r="K122" s="11">
        <f>IF($B122="","",IF(J122&lt;=0,"Paid",IF(I122&gt;0,"Part paid","Unpaid")))</f>
      </c>
      <c r="L122" s="5"/>
      <c r="M122" s="4"/>
      <c r="N122">
        <f>IF(OR($B122="",J122&lt;=0),"",J122+ROW()/100000)</f>
      </c>
      <c r="O122">
        <f>IF(N122="","",COUNTIF($N$4:$N$203,"&gt;"&amp;N122)+1)</f>
      </c>
    </row>
    <row r="123" spans="1:15" x14ac:dyDescent="0.25">
      <c r="A123" s="4"/>
      <c r="B123" s="4"/>
      <c r="C123" s="4"/>
      <c r="D123" s="4"/>
      <c r="E123" s="4"/>
      <c r="F123" s="9"/>
      <c r="G123" s="9"/>
      <c r="H123" s="9"/>
      <c r="I123" s="9"/>
      <c r="J123" s="10">
        <f>IF($B123="","",F123+G123+H123-I123)</f>
      </c>
      <c r="K123" s="11">
        <f>IF($B123="","",IF(J123&lt;=0,"Paid",IF(I123&gt;0,"Part paid","Unpaid")))</f>
      </c>
      <c r="L123" s="5"/>
      <c r="M123" s="4"/>
      <c r="N123">
        <f>IF(OR($B123="",J123&lt;=0),"",J123+ROW()/100000)</f>
      </c>
      <c r="O123">
        <f>IF(N123="","",COUNTIF($N$4:$N$203,"&gt;"&amp;N123)+1)</f>
      </c>
    </row>
    <row r="124" spans="1:15" x14ac:dyDescent="0.25">
      <c r="A124" s="4"/>
      <c r="B124" s="4"/>
      <c r="C124" s="4"/>
      <c r="D124" s="4"/>
      <c r="E124" s="4"/>
      <c r="F124" s="9"/>
      <c r="G124" s="9"/>
      <c r="H124" s="9"/>
      <c r="I124" s="9"/>
      <c r="J124" s="10">
        <f>IF($B124="","",F124+G124+H124-I124)</f>
      </c>
      <c r="K124" s="11">
        <f>IF($B124="","",IF(J124&lt;=0,"Paid",IF(I124&gt;0,"Part paid","Unpaid")))</f>
      </c>
      <c r="L124" s="5"/>
      <c r="M124" s="4"/>
      <c r="N124">
        <f>IF(OR($B124="",J124&lt;=0),"",J124+ROW()/100000)</f>
      </c>
      <c r="O124">
        <f>IF(N124="","",COUNTIF($N$4:$N$203,"&gt;"&amp;N124)+1)</f>
      </c>
    </row>
    <row r="125" spans="1:15" x14ac:dyDescent="0.25">
      <c r="A125" s="4"/>
      <c r="B125" s="4"/>
      <c r="C125" s="4"/>
      <c r="D125" s="4"/>
      <c r="E125" s="4"/>
      <c r="F125" s="9"/>
      <c r="G125" s="9"/>
      <c r="H125" s="9"/>
      <c r="I125" s="9"/>
      <c r="J125" s="10">
        <f>IF($B125="","",F125+G125+H125-I125)</f>
      </c>
      <c r="K125" s="11">
        <f>IF($B125="","",IF(J125&lt;=0,"Paid",IF(I125&gt;0,"Part paid","Unpaid")))</f>
      </c>
      <c r="L125" s="5"/>
      <c r="M125" s="4"/>
      <c r="N125">
        <f>IF(OR($B125="",J125&lt;=0),"",J125+ROW()/100000)</f>
      </c>
      <c r="O125">
        <f>IF(N125="","",COUNTIF($N$4:$N$203,"&gt;"&amp;N125)+1)</f>
      </c>
    </row>
    <row r="126" spans="1:15" x14ac:dyDescent="0.25">
      <c r="A126" s="4"/>
      <c r="B126" s="4"/>
      <c r="C126" s="4"/>
      <c r="D126" s="4"/>
      <c r="E126" s="4"/>
      <c r="F126" s="9"/>
      <c r="G126" s="9"/>
      <c r="H126" s="9"/>
      <c r="I126" s="9"/>
      <c r="J126" s="10">
        <f>IF($B126="","",F126+G126+H126-I126)</f>
      </c>
      <c r="K126" s="11">
        <f>IF($B126="","",IF(J126&lt;=0,"Paid",IF(I126&gt;0,"Part paid","Unpaid")))</f>
      </c>
      <c r="L126" s="5"/>
      <c r="M126" s="4"/>
      <c r="N126">
        <f>IF(OR($B126="",J126&lt;=0),"",J126+ROW()/100000)</f>
      </c>
      <c r="O126">
        <f>IF(N126="","",COUNTIF($N$4:$N$203,"&gt;"&amp;N126)+1)</f>
      </c>
    </row>
    <row r="127" spans="1:15" x14ac:dyDescent="0.25">
      <c r="A127" s="4"/>
      <c r="B127" s="4"/>
      <c r="C127" s="4"/>
      <c r="D127" s="4"/>
      <c r="E127" s="4"/>
      <c r="F127" s="9"/>
      <c r="G127" s="9"/>
      <c r="H127" s="9"/>
      <c r="I127" s="9"/>
      <c r="J127" s="10">
        <f>IF($B127="","",F127+G127+H127-I127)</f>
      </c>
      <c r="K127" s="11">
        <f>IF($B127="","",IF(J127&lt;=0,"Paid",IF(I127&gt;0,"Part paid","Unpaid")))</f>
      </c>
      <c r="L127" s="5"/>
      <c r="M127" s="4"/>
      <c r="N127">
        <f>IF(OR($B127="",J127&lt;=0),"",J127+ROW()/100000)</f>
      </c>
      <c r="O127">
        <f>IF(N127="","",COUNTIF($N$4:$N$203,"&gt;"&amp;N127)+1)</f>
      </c>
    </row>
    <row r="128" spans="1:15" x14ac:dyDescent="0.25">
      <c r="A128" s="4"/>
      <c r="B128" s="4"/>
      <c r="C128" s="4"/>
      <c r="D128" s="4"/>
      <c r="E128" s="4"/>
      <c r="F128" s="9"/>
      <c r="G128" s="9"/>
      <c r="H128" s="9"/>
      <c r="I128" s="9"/>
      <c r="J128" s="10">
        <f>IF($B128="","",F128+G128+H128-I128)</f>
      </c>
      <c r="K128" s="11">
        <f>IF($B128="","",IF(J128&lt;=0,"Paid",IF(I128&gt;0,"Part paid","Unpaid")))</f>
      </c>
      <c r="L128" s="5"/>
      <c r="M128" s="4"/>
      <c r="N128">
        <f>IF(OR($B128="",J128&lt;=0),"",J128+ROW()/100000)</f>
      </c>
      <c r="O128">
        <f>IF(N128="","",COUNTIF($N$4:$N$203,"&gt;"&amp;N128)+1)</f>
      </c>
    </row>
    <row r="129" spans="1:15" x14ac:dyDescent="0.25">
      <c r="A129" s="4"/>
      <c r="B129" s="4"/>
      <c r="C129" s="4"/>
      <c r="D129" s="4"/>
      <c r="E129" s="4"/>
      <c r="F129" s="9"/>
      <c r="G129" s="9"/>
      <c r="H129" s="9"/>
      <c r="I129" s="9"/>
      <c r="J129" s="10">
        <f>IF($B129="","",F129+G129+H129-I129)</f>
      </c>
      <c r="K129" s="11">
        <f>IF($B129="","",IF(J129&lt;=0,"Paid",IF(I129&gt;0,"Part paid","Unpaid")))</f>
      </c>
      <c r="L129" s="5"/>
      <c r="M129" s="4"/>
      <c r="N129">
        <f>IF(OR($B129="",J129&lt;=0),"",J129+ROW()/100000)</f>
      </c>
      <c r="O129">
        <f>IF(N129="","",COUNTIF($N$4:$N$203,"&gt;"&amp;N129)+1)</f>
      </c>
    </row>
    <row r="130" spans="1:15" x14ac:dyDescent="0.25">
      <c r="A130" s="4"/>
      <c r="B130" s="4"/>
      <c r="C130" s="4"/>
      <c r="D130" s="4"/>
      <c r="E130" s="4"/>
      <c r="F130" s="9"/>
      <c r="G130" s="9"/>
      <c r="H130" s="9"/>
      <c r="I130" s="9"/>
      <c r="J130" s="10">
        <f>IF($B130="","",F130+G130+H130-I130)</f>
      </c>
      <c r="K130" s="11">
        <f>IF($B130="","",IF(J130&lt;=0,"Paid",IF(I130&gt;0,"Part paid","Unpaid")))</f>
      </c>
      <c r="L130" s="5"/>
      <c r="M130" s="4"/>
      <c r="N130">
        <f>IF(OR($B130="",J130&lt;=0),"",J130+ROW()/100000)</f>
      </c>
      <c r="O130">
        <f>IF(N130="","",COUNTIF($N$4:$N$203,"&gt;"&amp;N130)+1)</f>
      </c>
    </row>
    <row r="131" spans="1:15" x14ac:dyDescent="0.25">
      <c r="A131" s="4"/>
      <c r="B131" s="4"/>
      <c r="C131" s="4"/>
      <c r="D131" s="4"/>
      <c r="E131" s="4"/>
      <c r="F131" s="9"/>
      <c r="G131" s="9"/>
      <c r="H131" s="9"/>
      <c r="I131" s="9"/>
      <c r="J131" s="10">
        <f>IF($B131="","",F131+G131+H131-I131)</f>
      </c>
      <c r="K131" s="11">
        <f>IF($B131="","",IF(J131&lt;=0,"Paid",IF(I131&gt;0,"Part paid","Unpaid")))</f>
      </c>
      <c r="L131" s="5"/>
      <c r="M131" s="4"/>
      <c r="N131">
        <f>IF(OR($B131="",J131&lt;=0),"",J131+ROW()/100000)</f>
      </c>
      <c r="O131">
        <f>IF(N131="","",COUNTIF($N$4:$N$203,"&gt;"&amp;N131)+1)</f>
      </c>
    </row>
    <row r="132" spans="1:15" x14ac:dyDescent="0.25">
      <c r="A132" s="4"/>
      <c r="B132" s="4"/>
      <c r="C132" s="4"/>
      <c r="D132" s="4"/>
      <c r="E132" s="4"/>
      <c r="F132" s="9"/>
      <c r="G132" s="9"/>
      <c r="H132" s="9"/>
      <c r="I132" s="9"/>
      <c r="J132" s="10">
        <f>IF($B132="","",F132+G132+H132-I132)</f>
      </c>
      <c r="K132" s="11">
        <f>IF($B132="","",IF(J132&lt;=0,"Paid",IF(I132&gt;0,"Part paid","Unpaid")))</f>
      </c>
      <c r="L132" s="5"/>
      <c r="M132" s="4"/>
      <c r="N132">
        <f>IF(OR($B132="",J132&lt;=0),"",J132+ROW()/100000)</f>
      </c>
      <c r="O132">
        <f>IF(N132="","",COUNTIF($N$4:$N$203,"&gt;"&amp;N132)+1)</f>
      </c>
    </row>
    <row r="133" spans="1:15" x14ac:dyDescent="0.25">
      <c r="A133" s="4"/>
      <c r="B133" s="4"/>
      <c r="C133" s="4"/>
      <c r="D133" s="4"/>
      <c r="E133" s="4"/>
      <c r="F133" s="9"/>
      <c r="G133" s="9"/>
      <c r="H133" s="9"/>
      <c r="I133" s="9"/>
      <c r="J133" s="10">
        <f>IF($B133="","",F133+G133+H133-I133)</f>
      </c>
      <c r="K133" s="11">
        <f>IF($B133="","",IF(J133&lt;=0,"Paid",IF(I133&gt;0,"Part paid","Unpaid")))</f>
      </c>
      <c r="L133" s="5"/>
      <c r="M133" s="4"/>
      <c r="N133">
        <f>IF(OR($B133="",J133&lt;=0),"",J133+ROW()/100000)</f>
      </c>
      <c r="O133">
        <f>IF(N133="","",COUNTIF($N$4:$N$203,"&gt;"&amp;N133)+1)</f>
      </c>
    </row>
    <row r="134" spans="1:15" x14ac:dyDescent="0.25">
      <c r="A134" s="4"/>
      <c r="B134" s="4"/>
      <c r="C134" s="4"/>
      <c r="D134" s="4"/>
      <c r="E134" s="4"/>
      <c r="F134" s="9"/>
      <c r="G134" s="9"/>
      <c r="H134" s="9"/>
      <c r="I134" s="9"/>
      <c r="J134" s="10">
        <f>IF($B134="","",F134+G134+H134-I134)</f>
      </c>
      <c r="K134" s="11">
        <f>IF($B134="","",IF(J134&lt;=0,"Paid",IF(I134&gt;0,"Part paid","Unpaid")))</f>
      </c>
      <c r="L134" s="5"/>
      <c r="M134" s="4"/>
      <c r="N134">
        <f>IF(OR($B134="",J134&lt;=0),"",J134+ROW()/100000)</f>
      </c>
      <c r="O134">
        <f>IF(N134="","",COUNTIF($N$4:$N$203,"&gt;"&amp;N134)+1)</f>
      </c>
    </row>
    <row r="135" spans="1:15" x14ac:dyDescent="0.25">
      <c r="A135" s="4"/>
      <c r="B135" s="4"/>
      <c r="C135" s="4"/>
      <c r="D135" s="4"/>
      <c r="E135" s="4"/>
      <c r="F135" s="9"/>
      <c r="G135" s="9"/>
      <c r="H135" s="9"/>
      <c r="I135" s="9"/>
      <c r="J135" s="10">
        <f>IF($B135="","",F135+G135+H135-I135)</f>
      </c>
      <c r="K135" s="11">
        <f>IF($B135="","",IF(J135&lt;=0,"Paid",IF(I135&gt;0,"Part paid","Unpaid")))</f>
      </c>
      <c r="L135" s="5"/>
      <c r="M135" s="4"/>
      <c r="N135">
        <f>IF(OR($B135="",J135&lt;=0),"",J135+ROW()/100000)</f>
      </c>
      <c r="O135">
        <f>IF(N135="","",COUNTIF($N$4:$N$203,"&gt;"&amp;N135)+1)</f>
      </c>
    </row>
    <row r="136" spans="1:15" x14ac:dyDescent="0.25">
      <c r="A136" s="4"/>
      <c r="B136" s="4"/>
      <c r="C136" s="4"/>
      <c r="D136" s="4"/>
      <c r="E136" s="4"/>
      <c r="F136" s="9"/>
      <c r="G136" s="9"/>
      <c r="H136" s="9"/>
      <c r="I136" s="9"/>
      <c r="J136" s="10">
        <f>IF($B136="","",F136+G136+H136-I136)</f>
      </c>
      <c r="K136" s="11">
        <f>IF($B136="","",IF(J136&lt;=0,"Paid",IF(I136&gt;0,"Part paid","Unpaid")))</f>
      </c>
      <c r="L136" s="5"/>
      <c r="M136" s="4"/>
      <c r="N136">
        <f>IF(OR($B136="",J136&lt;=0),"",J136+ROW()/100000)</f>
      </c>
      <c r="O136">
        <f>IF(N136="","",COUNTIF($N$4:$N$203,"&gt;"&amp;N136)+1)</f>
      </c>
    </row>
    <row r="137" spans="1:15" x14ac:dyDescent="0.25">
      <c r="A137" s="4"/>
      <c r="B137" s="4"/>
      <c r="C137" s="4"/>
      <c r="D137" s="4"/>
      <c r="E137" s="4"/>
      <c r="F137" s="9"/>
      <c r="G137" s="9"/>
      <c r="H137" s="9"/>
      <c r="I137" s="9"/>
      <c r="J137" s="10">
        <f>IF($B137="","",F137+G137+H137-I137)</f>
      </c>
      <c r="K137" s="11">
        <f>IF($B137="","",IF(J137&lt;=0,"Paid",IF(I137&gt;0,"Part paid","Unpaid")))</f>
      </c>
      <c r="L137" s="5"/>
      <c r="M137" s="4"/>
      <c r="N137">
        <f>IF(OR($B137="",J137&lt;=0),"",J137+ROW()/100000)</f>
      </c>
      <c r="O137">
        <f>IF(N137="","",COUNTIF($N$4:$N$203,"&gt;"&amp;N137)+1)</f>
      </c>
    </row>
    <row r="138" spans="1:15" x14ac:dyDescent="0.25">
      <c r="A138" s="4"/>
      <c r="B138" s="4"/>
      <c r="C138" s="4"/>
      <c r="D138" s="4"/>
      <c r="E138" s="4"/>
      <c r="F138" s="9"/>
      <c r="G138" s="9"/>
      <c r="H138" s="9"/>
      <c r="I138" s="9"/>
      <c r="J138" s="10">
        <f>IF($B138="","",F138+G138+H138-I138)</f>
      </c>
      <c r="K138" s="11">
        <f>IF($B138="","",IF(J138&lt;=0,"Paid",IF(I138&gt;0,"Part paid","Unpaid")))</f>
      </c>
      <c r="L138" s="5"/>
      <c r="M138" s="4"/>
      <c r="N138">
        <f>IF(OR($B138="",J138&lt;=0),"",J138+ROW()/100000)</f>
      </c>
      <c r="O138">
        <f>IF(N138="","",COUNTIF($N$4:$N$203,"&gt;"&amp;N138)+1)</f>
      </c>
    </row>
    <row r="139" spans="1:15" x14ac:dyDescent="0.25">
      <c r="A139" s="4"/>
      <c r="B139" s="4"/>
      <c r="C139" s="4"/>
      <c r="D139" s="4"/>
      <c r="E139" s="4"/>
      <c r="F139" s="9"/>
      <c r="G139" s="9"/>
      <c r="H139" s="9"/>
      <c r="I139" s="9"/>
      <c r="J139" s="10">
        <f>IF($B139="","",F139+G139+H139-I139)</f>
      </c>
      <c r="K139" s="11">
        <f>IF($B139="","",IF(J139&lt;=0,"Paid",IF(I139&gt;0,"Part paid","Unpaid")))</f>
      </c>
      <c r="L139" s="5"/>
      <c r="M139" s="4"/>
      <c r="N139">
        <f>IF(OR($B139="",J139&lt;=0),"",J139+ROW()/100000)</f>
      </c>
      <c r="O139">
        <f>IF(N139="","",COUNTIF($N$4:$N$203,"&gt;"&amp;N139)+1)</f>
      </c>
    </row>
    <row r="140" spans="1:15" x14ac:dyDescent="0.25">
      <c r="A140" s="4"/>
      <c r="B140" s="4"/>
      <c r="C140" s="4"/>
      <c r="D140" s="4"/>
      <c r="E140" s="4"/>
      <c r="F140" s="9"/>
      <c r="G140" s="9"/>
      <c r="H140" s="9"/>
      <c r="I140" s="9"/>
      <c r="J140" s="10">
        <f>IF($B140="","",F140+G140+H140-I140)</f>
      </c>
      <c r="K140" s="11">
        <f>IF($B140="","",IF(J140&lt;=0,"Paid",IF(I140&gt;0,"Part paid","Unpaid")))</f>
      </c>
      <c r="L140" s="5"/>
      <c r="M140" s="4"/>
      <c r="N140">
        <f>IF(OR($B140="",J140&lt;=0),"",J140+ROW()/100000)</f>
      </c>
      <c r="O140">
        <f>IF(N140="","",COUNTIF($N$4:$N$203,"&gt;"&amp;N140)+1)</f>
      </c>
    </row>
    <row r="141" spans="1:15" x14ac:dyDescent="0.25">
      <c r="A141" s="4"/>
      <c r="B141" s="4"/>
      <c r="C141" s="4"/>
      <c r="D141" s="4"/>
      <c r="E141" s="4"/>
      <c r="F141" s="9"/>
      <c r="G141" s="9"/>
      <c r="H141" s="9"/>
      <c r="I141" s="9"/>
      <c r="J141" s="10">
        <f>IF($B141="","",F141+G141+H141-I141)</f>
      </c>
      <c r="K141" s="11">
        <f>IF($B141="","",IF(J141&lt;=0,"Paid",IF(I141&gt;0,"Part paid","Unpaid")))</f>
      </c>
      <c r="L141" s="5"/>
      <c r="M141" s="4"/>
      <c r="N141">
        <f>IF(OR($B141="",J141&lt;=0),"",J141+ROW()/100000)</f>
      </c>
      <c r="O141">
        <f>IF(N141="","",COUNTIF($N$4:$N$203,"&gt;"&amp;N141)+1)</f>
      </c>
    </row>
    <row r="142" spans="1:15" x14ac:dyDescent="0.25">
      <c r="A142" s="4"/>
      <c r="B142" s="4"/>
      <c r="C142" s="4"/>
      <c r="D142" s="4"/>
      <c r="E142" s="4"/>
      <c r="F142" s="9"/>
      <c r="G142" s="9"/>
      <c r="H142" s="9"/>
      <c r="I142" s="9"/>
      <c r="J142" s="10">
        <f>IF($B142="","",F142+G142+H142-I142)</f>
      </c>
      <c r="K142" s="11">
        <f>IF($B142="","",IF(J142&lt;=0,"Paid",IF(I142&gt;0,"Part paid","Unpaid")))</f>
      </c>
      <c r="L142" s="5"/>
      <c r="M142" s="4"/>
      <c r="N142">
        <f>IF(OR($B142="",J142&lt;=0),"",J142+ROW()/100000)</f>
      </c>
      <c r="O142">
        <f>IF(N142="","",COUNTIF($N$4:$N$203,"&gt;"&amp;N142)+1)</f>
      </c>
    </row>
    <row r="143" spans="1:15" x14ac:dyDescent="0.25">
      <c r="A143" s="4"/>
      <c r="B143" s="4"/>
      <c r="C143" s="4"/>
      <c r="D143" s="4"/>
      <c r="E143" s="4"/>
      <c r="F143" s="9"/>
      <c r="G143" s="9"/>
      <c r="H143" s="9"/>
      <c r="I143" s="9"/>
      <c r="J143" s="10">
        <f>IF($B143="","",F143+G143+H143-I143)</f>
      </c>
      <c r="K143" s="11">
        <f>IF($B143="","",IF(J143&lt;=0,"Paid",IF(I143&gt;0,"Part paid","Unpaid")))</f>
      </c>
      <c r="L143" s="5"/>
      <c r="M143" s="4"/>
      <c r="N143">
        <f>IF(OR($B143="",J143&lt;=0),"",J143+ROW()/100000)</f>
      </c>
      <c r="O143">
        <f>IF(N143="","",COUNTIF($N$4:$N$203,"&gt;"&amp;N143)+1)</f>
      </c>
    </row>
    <row r="144" spans="1:15" x14ac:dyDescent="0.25">
      <c r="A144" s="4"/>
      <c r="B144" s="4"/>
      <c r="C144" s="4"/>
      <c r="D144" s="4"/>
      <c r="E144" s="4"/>
      <c r="F144" s="9"/>
      <c r="G144" s="9"/>
      <c r="H144" s="9"/>
      <c r="I144" s="9"/>
      <c r="J144" s="10">
        <f>IF($B144="","",F144+G144+H144-I144)</f>
      </c>
      <c r="K144" s="11">
        <f>IF($B144="","",IF(J144&lt;=0,"Paid",IF(I144&gt;0,"Part paid","Unpaid")))</f>
      </c>
      <c r="L144" s="5"/>
      <c r="M144" s="4"/>
      <c r="N144">
        <f>IF(OR($B144="",J144&lt;=0),"",J144+ROW()/100000)</f>
      </c>
      <c r="O144">
        <f>IF(N144="","",COUNTIF($N$4:$N$203,"&gt;"&amp;N144)+1)</f>
      </c>
    </row>
    <row r="145" spans="1:15" x14ac:dyDescent="0.25">
      <c r="A145" s="4"/>
      <c r="B145" s="4"/>
      <c r="C145" s="4"/>
      <c r="D145" s="4"/>
      <c r="E145" s="4"/>
      <c r="F145" s="9"/>
      <c r="G145" s="9"/>
      <c r="H145" s="9"/>
      <c r="I145" s="9"/>
      <c r="J145" s="10">
        <f>IF($B145="","",F145+G145+H145-I145)</f>
      </c>
      <c r="K145" s="11">
        <f>IF($B145="","",IF(J145&lt;=0,"Paid",IF(I145&gt;0,"Part paid","Unpaid")))</f>
      </c>
      <c r="L145" s="5"/>
      <c r="M145" s="4"/>
      <c r="N145">
        <f>IF(OR($B145="",J145&lt;=0),"",J145+ROW()/100000)</f>
      </c>
      <c r="O145">
        <f>IF(N145="","",COUNTIF($N$4:$N$203,"&gt;"&amp;N145)+1)</f>
      </c>
    </row>
    <row r="146" spans="1:15" x14ac:dyDescent="0.25">
      <c r="A146" s="4"/>
      <c r="B146" s="4"/>
      <c r="C146" s="4"/>
      <c r="D146" s="4"/>
      <c r="E146" s="4"/>
      <c r="F146" s="9"/>
      <c r="G146" s="9"/>
      <c r="H146" s="9"/>
      <c r="I146" s="9"/>
      <c r="J146" s="10">
        <f>IF($B146="","",F146+G146+H146-I146)</f>
      </c>
      <c r="K146" s="11">
        <f>IF($B146="","",IF(J146&lt;=0,"Paid",IF(I146&gt;0,"Part paid","Unpaid")))</f>
      </c>
      <c r="L146" s="5"/>
      <c r="M146" s="4"/>
      <c r="N146">
        <f>IF(OR($B146="",J146&lt;=0),"",J146+ROW()/100000)</f>
      </c>
      <c r="O146">
        <f>IF(N146="","",COUNTIF($N$4:$N$203,"&gt;"&amp;N146)+1)</f>
      </c>
    </row>
    <row r="147" spans="1:15" x14ac:dyDescent="0.25">
      <c r="A147" s="4"/>
      <c r="B147" s="4"/>
      <c r="C147" s="4"/>
      <c r="D147" s="4"/>
      <c r="E147" s="4"/>
      <c r="F147" s="9"/>
      <c r="G147" s="9"/>
      <c r="H147" s="9"/>
      <c r="I147" s="9"/>
      <c r="J147" s="10">
        <f>IF($B147="","",F147+G147+H147-I147)</f>
      </c>
      <c r="K147" s="11">
        <f>IF($B147="","",IF(J147&lt;=0,"Paid",IF(I147&gt;0,"Part paid","Unpaid")))</f>
      </c>
      <c r="L147" s="5"/>
      <c r="M147" s="4"/>
      <c r="N147">
        <f>IF(OR($B147="",J147&lt;=0),"",J147+ROW()/100000)</f>
      </c>
      <c r="O147">
        <f>IF(N147="","",COUNTIF($N$4:$N$203,"&gt;"&amp;N147)+1)</f>
      </c>
    </row>
    <row r="148" spans="1:15" x14ac:dyDescent="0.25">
      <c r="A148" s="4"/>
      <c r="B148" s="4"/>
      <c r="C148" s="4"/>
      <c r="D148" s="4"/>
      <c r="E148" s="4"/>
      <c r="F148" s="9"/>
      <c r="G148" s="9"/>
      <c r="H148" s="9"/>
      <c r="I148" s="9"/>
      <c r="J148" s="10">
        <f>IF($B148="","",F148+G148+H148-I148)</f>
      </c>
      <c r="K148" s="11">
        <f>IF($B148="","",IF(J148&lt;=0,"Paid",IF(I148&gt;0,"Part paid","Unpaid")))</f>
      </c>
      <c r="L148" s="5"/>
      <c r="M148" s="4"/>
      <c r="N148">
        <f>IF(OR($B148="",J148&lt;=0),"",J148+ROW()/100000)</f>
      </c>
      <c r="O148">
        <f>IF(N148="","",COUNTIF($N$4:$N$203,"&gt;"&amp;N148)+1)</f>
      </c>
    </row>
    <row r="149" spans="1:15" x14ac:dyDescent="0.25">
      <c r="A149" s="4"/>
      <c r="B149" s="4"/>
      <c r="C149" s="4"/>
      <c r="D149" s="4"/>
      <c r="E149" s="4"/>
      <c r="F149" s="9"/>
      <c r="G149" s="9"/>
      <c r="H149" s="9"/>
      <c r="I149" s="9"/>
      <c r="J149" s="10">
        <f>IF($B149="","",F149+G149+H149-I149)</f>
      </c>
      <c r="K149" s="11">
        <f>IF($B149="","",IF(J149&lt;=0,"Paid",IF(I149&gt;0,"Part paid","Unpaid")))</f>
      </c>
      <c r="L149" s="5"/>
      <c r="M149" s="4"/>
      <c r="N149">
        <f>IF(OR($B149="",J149&lt;=0),"",J149+ROW()/100000)</f>
      </c>
      <c r="O149">
        <f>IF(N149="","",COUNTIF($N$4:$N$203,"&gt;"&amp;N149)+1)</f>
      </c>
    </row>
    <row r="150" spans="1:15" x14ac:dyDescent="0.25">
      <c r="A150" s="4"/>
      <c r="B150" s="4"/>
      <c r="C150" s="4"/>
      <c r="D150" s="4"/>
      <c r="E150" s="4"/>
      <c r="F150" s="9"/>
      <c r="G150" s="9"/>
      <c r="H150" s="9"/>
      <c r="I150" s="9"/>
      <c r="J150" s="10">
        <f>IF($B150="","",F150+G150+H150-I150)</f>
      </c>
      <c r="K150" s="11">
        <f>IF($B150="","",IF(J150&lt;=0,"Paid",IF(I150&gt;0,"Part paid","Unpaid")))</f>
      </c>
      <c r="L150" s="5"/>
      <c r="M150" s="4"/>
      <c r="N150">
        <f>IF(OR($B150="",J150&lt;=0),"",J150+ROW()/100000)</f>
      </c>
      <c r="O150">
        <f>IF(N150="","",COUNTIF($N$4:$N$203,"&gt;"&amp;N150)+1)</f>
      </c>
    </row>
    <row r="151" spans="1:15" x14ac:dyDescent="0.25">
      <c r="A151" s="4"/>
      <c r="B151" s="4"/>
      <c r="C151" s="4"/>
      <c r="D151" s="4"/>
      <c r="E151" s="4"/>
      <c r="F151" s="9"/>
      <c r="G151" s="9"/>
      <c r="H151" s="9"/>
      <c r="I151" s="9"/>
      <c r="J151" s="10">
        <f>IF($B151="","",F151+G151+H151-I151)</f>
      </c>
      <c r="K151" s="11">
        <f>IF($B151="","",IF(J151&lt;=0,"Paid",IF(I151&gt;0,"Part paid","Unpaid")))</f>
      </c>
      <c r="L151" s="5"/>
      <c r="M151" s="4"/>
      <c r="N151">
        <f>IF(OR($B151="",J151&lt;=0),"",J151+ROW()/100000)</f>
      </c>
      <c r="O151">
        <f>IF(N151="","",COUNTIF($N$4:$N$203,"&gt;"&amp;N151)+1)</f>
      </c>
    </row>
    <row r="152" spans="1:15" x14ac:dyDescent="0.25">
      <c r="A152" s="4"/>
      <c r="B152" s="4"/>
      <c r="C152" s="4"/>
      <c r="D152" s="4"/>
      <c r="E152" s="4"/>
      <c r="F152" s="9"/>
      <c r="G152" s="9"/>
      <c r="H152" s="9"/>
      <c r="I152" s="9"/>
      <c r="J152" s="10">
        <f>IF($B152="","",F152+G152+H152-I152)</f>
      </c>
      <c r="K152" s="11">
        <f>IF($B152="","",IF(J152&lt;=0,"Paid",IF(I152&gt;0,"Part paid","Unpaid")))</f>
      </c>
      <c r="L152" s="5"/>
      <c r="M152" s="4"/>
      <c r="N152">
        <f>IF(OR($B152="",J152&lt;=0),"",J152+ROW()/100000)</f>
      </c>
      <c r="O152">
        <f>IF(N152="","",COUNTIF($N$4:$N$203,"&gt;"&amp;N152)+1)</f>
      </c>
    </row>
    <row r="153" spans="1:15" x14ac:dyDescent="0.25">
      <c r="A153" s="4"/>
      <c r="B153" s="4"/>
      <c r="C153" s="4"/>
      <c r="D153" s="4"/>
      <c r="E153" s="4"/>
      <c r="F153" s="9"/>
      <c r="G153" s="9"/>
      <c r="H153" s="9"/>
      <c r="I153" s="9"/>
      <c r="J153" s="10">
        <f>IF($B153="","",F153+G153+H153-I153)</f>
      </c>
      <c r="K153" s="11">
        <f>IF($B153="","",IF(J153&lt;=0,"Paid",IF(I153&gt;0,"Part paid","Unpaid")))</f>
      </c>
      <c r="L153" s="5"/>
      <c r="M153" s="4"/>
      <c r="N153">
        <f>IF(OR($B153="",J153&lt;=0),"",J153+ROW()/100000)</f>
      </c>
      <c r="O153">
        <f>IF(N153="","",COUNTIF($N$4:$N$203,"&gt;"&amp;N153)+1)</f>
      </c>
    </row>
    <row r="154" spans="1:15" x14ac:dyDescent="0.25">
      <c r="A154" s="4"/>
      <c r="B154" s="4"/>
      <c r="C154" s="4"/>
      <c r="D154" s="4"/>
      <c r="E154" s="4"/>
      <c r="F154" s="9"/>
      <c r="G154" s="9"/>
      <c r="H154" s="9"/>
      <c r="I154" s="9"/>
      <c r="J154" s="10">
        <f>IF($B154="","",F154+G154+H154-I154)</f>
      </c>
      <c r="K154" s="11">
        <f>IF($B154="","",IF(J154&lt;=0,"Paid",IF(I154&gt;0,"Part paid","Unpaid")))</f>
      </c>
      <c r="L154" s="5"/>
      <c r="M154" s="4"/>
      <c r="N154">
        <f>IF(OR($B154="",J154&lt;=0),"",J154+ROW()/100000)</f>
      </c>
      <c r="O154">
        <f>IF(N154="","",COUNTIF($N$4:$N$203,"&gt;"&amp;N154)+1)</f>
      </c>
    </row>
    <row r="155" spans="1:15" x14ac:dyDescent="0.25">
      <c r="A155" s="4"/>
      <c r="B155" s="4"/>
      <c r="C155" s="4"/>
      <c r="D155" s="4"/>
      <c r="E155" s="4"/>
      <c r="F155" s="9"/>
      <c r="G155" s="9"/>
      <c r="H155" s="9"/>
      <c r="I155" s="9"/>
      <c r="J155" s="10">
        <f>IF($B155="","",F155+G155+H155-I155)</f>
      </c>
      <c r="K155" s="11">
        <f>IF($B155="","",IF(J155&lt;=0,"Paid",IF(I155&gt;0,"Part paid","Unpaid")))</f>
      </c>
      <c r="L155" s="5"/>
      <c r="M155" s="4"/>
      <c r="N155">
        <f>IF(OR($B155="",J155&lt;=0),"",J155+ROW()/100000)</f>
      </c>
      <c r="O155">
        <f>IF(N155="","",COUNTIF($N$4:$N$203,"&gt;"&amp;N155)+1)</f>
      </c>
    </row>
    <row r="156" spans="1:15" x14ac:dyDescent="0.25">
      <c r="A156" s="4"/>
      <c r="B156" s="4"/>
      <c r="C156" s="4"/>
      <c r="D156" s="4"/>
      <c r="E156" s="4"/>
      <c r="F156" s="9"/>
      <c r="G156" s="9"/>
      <c r="H156" s="9"/>
      <c r="I156" s="9"/>
      <c r="J156" s="10">
        <f>IF($B156="","",F156+G156+H156-I156)</f>
      </c>
      <c r="K156" s="11">
        <f>IF($B156="","",IF(J156&lt;=0,"Paid",IF(I156&gt;0,"Part paid","Unpaid")))</f>
      </c>
      <c r="L156" s="5"/>
      <c r="M156" s="4"/>
      <c r="N156">
        <f>IF(OR($B156="",J156&lt;=0),"",J156+ROW()/100000)</f>
      </c>
      <c r="O156">
        <f>IF(N156="","",COUNTIF($N$4:$N$203,"&gt;"&amp;N156)+1)</f>
      </c>
    </row>
    <row r="157" spans="1:15" x14ac:dyDescent="0.25">
      <c r="A157" s="4"/>
      <c r="B157" s="4"/>
      <c r="C157" s="4"/>
      <c r="D157" s="4"/>
      <c r="E157" s="4"/>
      <c r="F157" s="9"/>
      <c r="G157" s="9"/>
      <c r="H157" s="9"/>
      <c r="I157" s="9"/>
      <c r="J157" s="10">
        <f>IF($B157="","",F157+G157+H157-I157)</f>
      </c>
      <c r="K157" s="11">
        <f>IF($B157="","",IF(J157&lt;=0,"Paid",IF(I157&gt;0,"Part paid","Unpaid")))</f>
      </c>
      <c r="L157" s="5"/>
      <c r="M157" s="4"/>
      <c r="N157">
        <f>IF(OR($B157="",J157&lt;=0),"",J157+ROW()/100000)</f>
      </c>
      <c r="O157">
        <f>IF(N157="","",COUNTIF($N$4:$N$203,"&gt;"&amp;N157)+1)</f>
      </c>
    </row>
    <row r="158" spans="1:15" x14ac:dyDescent="0.25">
      <c r="A158" s="4"/>
      <c r="B158" s="4"/>
      <c r="C158" s="4"/>
      <c r="D158" s="4"/>
      <c r="E158" s="4"/>
      <c r="F158" s="9"/>
      <c r="G158" s="9"/>
      <c r="H158" s="9"/>
      <c r="I158" s="9"/>
      <c r="J158" s="10">
        <f>IF($B158="","",F158+G158+H158-I158)</f>
      </c>
      <c r="K158" s="11">
        <f>IF($B158="","",IF(J158&lt;=0,"Paid",IF(I158&gt;0,"Part paid","Unpaid")))</f>
      </c>
      <c r="L158" s="5"/>
      <c r="M158" s="4"/>
      <c r="N158">
        <f>IF(OR($B158="",J158&lt;=0),"",J158+ROW()/100000)</f>
      </c>
      <c r="O158">
        <f>IF(N158="","",COUNTIF($N$4:$N$203,"&gt;"&amp;N158)+1)</f>
      </c>
    </row>
    <row r="159" spans="1:15" x14ac:dyDescent="0.25">
      <c r="A159" s="4"/>
      <c r="B159" s="4"/>
      <c r="C159" s="4"/>
      <c r="D159" s="4"/>
      <c r="E159" s="4"/>
      <c r="F159" s="9"/>
      <c r="G159" s="9"/>
      <c r="H159" s="9"/>
      <c r="I159" s="9"/>
      <c r="J159" s="10">
        <f>IF($B159="","",F159+G159+H159-I159)</f>
      </c>
      <c r="K159" s="11">
        <f>IF($B159="","",IF(J159&lt;=0,"Paid",IF(I159&gt;0,"Part paid","Unpaid")))</f>
      </c>
      <c r="L159" s="5"/>
      <c r="M159" s="4"/>
      <c r="N159">
        <f>IF(OR($B159="",J159&lt;=0),"",J159+ROW()/100000)</f>
      </c>
      <c r="O159">
        <f>IF(N159="","",COUNTIF($N$4:$N$203,"&gt;"&amp;N159)+1)</f>
      </c>
    </row>
    <row r="160" spans="1:15" x14ac:dyDescent="0.25">
      <c r="A160" s="4"/>
      <c r="B160" s="4"/>
      <c r="C160" s="4"/>
      <c r="D160" s="4"/>
      <c r="E160" s="4"/>
      <c r="F160" s="9"/>
      <c r="G160" s="9"/>
      <c r="H160" s="9"/>
      <c r="I160" s="9"/>
      <c r="J160" s="10">
        <f>IF($B160="","",F160+G160+H160-I160)</f>
      </c>
      <c r="K160" s="11">
        <f>IF($B160="","",IF(J160&lt;=0,"Paid",IF(I160&gt;0,"Part paid","Unpaid")))</f>
      </c>
      <c r="L160" s="5"/>
      <c r="M160" s="4"/>
      <c r="N160">
        <f>IF(OR($B160="",J160&lt;=0),"",J160+ROW()/100000)</f>
      </c>
      <c r="O160">
        <f>IF(N160="","",COUNTIF($N$4:$N$203,"&gt;"&amp;N160)+1)</f>
      </c>
    </row>
    <row r="161" spans="1:15" x14ac:dyDescent="0.25">
      <c r="A161" s="4"/>
      <c r="B161" s="4"/>
      <c r="C161" s="4"/>
      <c r="D161" s="4"/>
      <c r="E161" s="4"/>
      <c r="F161" s="9"/>
      <c r="G161" s="9"/>
      <c r="H161" s="9"/>
      <c r="I161" s="9"/>
      <c r="J161" s="10">
        <f>IF($B161="","",F161+G161+H161-I161)</f>
      </c>
      <c r="K161" s="11">
        <f>IF($B161="","",IF(J161&lt;=0,"Paid",IF(I161&gt;0,"Part paid","Unpaid")))</f>
      </c>
      <c r="L161" s="5"/>
      <c r="M161" s="4"/>
      <c r="N161">
        <f>IF(OR($B161="",J161&lt;=0),"",J161+ROW()/100000)</f>
      </c>
      <c r="O161">
        <f>IF(N161="","",COUNTIF($N$4:$N$203,"&gt;"&amp;N161)+1)</f>
      </c>
    </row>
    <row r="162" spans="1:15" x14ac:dyDescent="0.25">
      <c r="A162" s="4"/>
      <c r="B162" s="4"/>
      <c r="C162" s="4"/>
      <c r="D162" s="4"/>
      <c r="E162" s="4"/>
      <c r="F162" s="9"/>
      <c r="G162" s="9"/>
      <c r="H162" s="9"/>
      <c r="I162" s="9"/>
      <c r="J162" s="10">
        <f>IF($B162="","",F162+G162+H162-I162)</f>
      </c>
      <c r="K162" s="11">
        <f>IF($B162="","",IF(J162&lt;=0,"Paid",IF(I162&gt;0,"Part paid","Unpaid")))</f>
      </c>
      <c r="L162" s="5"/>
      <c r="M162" s="4"/>
      <c r="N162">
        <f>IF(OR($B162="",J162&lt;=0),"",J162+ROW()/100000)</f>
      </c>
      <c r="O162">
        <f>IF(N162="","",COUNTIF($N$4:$N$203,"&gt;"&amp;N162)+1)</f>
      </c>
    </row>
    <row r="163" spans="1:15" x14ac:dyDescent="0.25">
      <c r="A163" s="4"/>
      <c r="B163" s="4"/>
      <c r="C163" s="4"/>
      <c r="D163" s="4"/>
      <c r="E163" s="4"/>
      <c r="F163" s="9"/>
      <c r="G163" s="9"/>
      <c r="H163" s="9"/>
      <c r="I163" s="9"/>
      <c r="J163" s="10">
        <f>IF($B163="","",F163+G163+H163-I163)</f>
      </c>
      <c r="K163" s="11">
        <f>IF($B163="","",IF(J163&lt;=0,"Paid",IF(I163&gt;0,"Part paid","Unpaid")))</f>
      </c>
      <c r="L163" s="5"/>
      <c r="M163" s="4"/>
      <c r="N163">
        <f>IF(OR($B163="",J163&lt;=0),"",J163+ROW()/100000)</f>
      </c>
      <c r="O163">
        <f>IF(N163="","",COUNTIF($N$4:$N$203,"&gt;"&amp;N163)+1)</f>
      </c>
    </row>
    <row r="164" spans="1:15" x14ac:dyDescent="0.25">
      <c r="A164" s="4"/>
      <c r="B164" s="4"/>
      <c r="C164" s="4"/>
      <c r="D164" s="4"/>
      <c r="E164" s="4"/>
      <c r="F164" s="9"/>
      <c r="G164" s="9"/>
      <c r="H164" s="9"/>
      <c r="I164" s="9"/>
      <c r="J164" s="10">
        <f>IF($B164="","",F164+G164+H164-I164)</f>
      </c>
      <c r="K164" s="11">
        <f>IF($B164="","",IF(J164&lt;=0,"Paid",IF(I164&gt;0,"Part paid","Unpaid")))</f>
      </c>
      <c r="L164" s="5"/>
      <c r="M164" s="4"/>
      <c r="N164">
        <f>IF(OR($B164="",J164&lt;=0),"",J164+ROW()/100000)</f>
      </c>
      <c r="O164">
        <f>IF(N164="","",COUNTIF($N$4:$N$203,"&gt;"&amp;N164)+1)</f>
      </c>
    </row>
    <row r="165" spans="1:15" x14ac:dyDescent="0.25">
      <c r="A165" s="4"/>
      <c r="B165" s="4"/>
      <c r="C165" s="4"/>
      <c r="D165" s="4"/>
      <c r="E165" s="4"/>
      <c r="F165" s="9"/>
      <c r="G165" s="9"/>
      <c r="H165" s="9"/>
      <c r="I165" s="9"/>
      <c r="J165" s="10">
        <f>IF($B165="","",F165+G165+H165-I165)</f>
      </c>
      <c r="K165" s="11">
        <f>IF($B165="","",IF(J165&lt;=0,"Paid",IF(I165&gt;0,"Part paid","Unpaid")))</f>
      </c>
      <c r="L165" s="5"/>
      <c r="M165" s="4"/>
      <c r="N165">
        <f>IF(OR($B165="",J165&lt;=0),"",J165+ROW()/100000)</f>
      </c>
      <c r="O165">
        <f>IF(N165="","",COUNTIF($N$4:$N$203,"&gt;"&amp;N165)+1)</f>
      </c>
    </row>
    <row r="166" spans="1:15" x14ac:dyDescent="0.25">
      <c r="A166" s="4"/>
      <c r="B166" s="4"/>
      <c r="C166" s="4"/>
      <c r="D166" s="4"/>
      <c r="E166" s="4"/>
      <c r="F166" s="9"/>
      <c r="G166" s="9"/>
      <c r="H166" s="9"/>
      <c r="I166" s="9"/>
      <c r="J166" s="10">
        <f>IF($B166="","",F166+G166+H166-I166)</f>
      </c>
      <c r="K166" s="11">
        <f>IF($B166="","",IF(J166&lt;=0,"Paid",IF(I166&gt;0,"Part paid","Unpaid")))</f>
      </c>
      <c r="L166" s="5"/>
      <c r="M166" s="4"/>
      <c r="N166">
        <f>IF(OR($B166="",J166&lt;=0),"",J166+ROW()/100000)</f>
      </c>
      <c r="O166">
        <f>IF(N166="","",COUNTIF($N$4:$N$203,"&gt;"&amp;N166)+1)</f>
      </c>
    </row>
    <row r="167" spans="1:15" x14ac:dyDescent="0.25">
      <c r="A167" s="4"/>
      <c r="B167" s="4"/>
      <c r="C167" s="4"/>
      <c r="D167" s="4"/>
      <c r="E167" s="4"/>
      <c r="F167" s="9"/>
      <c r="G167" s="9"/>
      <c r="H167" s="9"/>
      <c r="I167" s="9"/>
      <c r="J167" s="10">
        <f>IF($B167="","",F167+G167+H167-I167)</f>
      </c>
      <c r="K167" s="11">
        <f>IF($B167="","",IF(J167&lt;=0,"Paid",IF(I167&gt;0,"Part paid","Unpaid")))</f>
      </c>
      <c r="L167" s="5"/>
      <c r="M167" s="4"/>
      <c r="N167">
        <f>IF(OR($B167="",J167&lt;=0),"",J167+ROW()/100000)</f>
      </c>
      <c r="O167">
        <f>IF(N167="","",COUNTIF($N$4:$N$203,"&gt;"&amp;N167)+1)</f>
      </c>
    </row>
    <row r="168" spans="1:15" x14ac:dyDescent="0.25">
      <c r="A168" s="4"/>
      <c r="B168" s="4"/>
      <c r="C168" s="4"/>
      <c r="D168" s="4"/>
      <c r="E168" s="4"/>
      <c r="F168" s="9"/>
      <c r="G168" s="9"/>
      <c r="H168" s="9"/>
      <c r="I168" s="9"/>
      <c r="J168" s="10">
        <f>IF($B168="","",F168+G168+H168-I168)</f>
      </c>
      <c r="K168" s="11">
        <f>IF($B168="","",IF(J168&lt;=0,"Paid",IF(I168&gt;0,"Part paid","Unpaid")))</f>
      </c>
      <c r="L168" s="5"/>
      <c r="M168" s="4"/>
      <c r="N168">
        <f>IF(OR($B168="",J168&lt;=0),"",J168+ROW()/100000)</f>
      </c>
      <c r="O168">
        <f>IF(N168="","",COUNTIF($N$4:$N$203,"&gt;"&amp;N168)+1)</f>
      </c>
    </row>
    <row r="169" spans="1:15" x14ac:dyDescent="0.25">
      <c r="A169" s="4"/>
      <c r="B169" s="4"/>
      <c r="C169" s="4"/>
      <c r="D169" s="4"/>
      <c r="E169" s="4"/>
      <c r="F169" s="9"/>
      <c r="G169" s="9"/>
      <c r="H169" s="9"/>
      <c r="I169" s="9"/>
      <c r="J169" s="10">
        <f>IF($B169="","",F169+G169+H169-I169)</f>
      </c>
      <c r="K169" s="11">
        <f>IF($B169="","",IF(J169&lt;=0,"Paid",IF(I169&gt;0,"Part paid","Unpaid")))</f>
      </c>
      <c r="L169" s="5"/>
      <c r="M169" s="4"/>
      <c r="N169">
        <f>IF(OR($B169="",J169&lt;=0),"",J169+ROW()/100000)</f>
      </c>
      <c r="O169">
        <f>IF(N169="","",COUNTIF($N$4:$N$203,"&gt;"&amp;N169)+1)</f>
      </c>
    </row>
    <row r="170" spans="1:15" x14ac:dyDescent="0.25">
      <c r="A170" s="4"/>
      <c r="B170" s="4"/>
      <c r="C170" s="4"/>
      <c r="D170" s="4"/>
      <c r="E170" s="4"/>
      <c r="F170" s="9"/>
      <c r="G170" s="9"/>
      <c r="H170" s="9"/>
      <c r="I170" s="9"/>
      <c r="J170" s="10">
        <f>IF($B170="","",F170+G170+H170-I170)</f>
      </c>
      <c r="K170" s="11">
        <f>IF($B170="","",IF(J170&lt;=0,"Paid",IF(I170&gt;0,"Part paid","Unpaid")))</f>
      </c>
      <c r="L170" s="5"/>
      <c r="M170" s="4"/>
      <c r="N170">
        <f>IF(OR($B170="",J170&lt;=0),"",J170+ROW()/100000)</f>
      </c>
      <c r="O170">
        <f>IF(N170="","",COUNTIF($N$4:$N$203,"&gt;"&amp;N170)+1)</f>
      </c>
    </row>
    <row r="171" spans="1:15" x14ac:dyDescent="0.25">
      <c r="A171" s="4"/>
      <c r="B171" s="4"/>
      <c r="C171" s="4"/>
      <c r="D171" s="4"/>
      <c r="E171" s="4"/>
      <c r="F171" s="9"/>
      <c r="G171" s="9"/>
      <c r="H171" s="9"/>
      <c r="I171" s="9"/>
      <c r="J171" s="10">
        <f>IF($B171="","",F171+G171+H171-I171)</f>
      </c>
      <c r="K171" s="11">
        <f>IF($B171="","",IF(J171&lt;=0,"Paid",IF(I171&gt;0,"Part paid","Unpaid")))</f>
      </c>
      <c r="L171" s="5"/>
      <c r="M171" s="4"/>
      <c r="N171">
        <f>IF(OR($B171="",J171&lt;=0),"",J171+ROW()/100000)</f>
      </c>
      <c r="O171">
        <f>IF(N171="","",COUNTIF($N$4:$N$203,"&gt;"&amp;N171)+1)</f>
      </c>
    </row>
    <row r="172" spans="1:15" x14ac:dyDescent="0.25">
      <c r="A172" s="4"/>
      <c r="B172" s="4"/>
      <c r="C172" s="4"/>
      <c r="D172" s="4"/>
      <c r="E172" s="4"/>
      <c r="F172" s="9"/>
      <c r="G172" s="9"/>
      <c r="H172" s="9"/>
      <c r="I172" s="9"/>
      <c r="J172" s="10">
        <f>IF($B172="","",F172+G172+H172-I172)</f>
      </c>
      <c r="K172" s="11">
        <f>IF($B172="","",IF(J172&lt;=0,"Paid",IF(I172&gt;0,"Part paid","Unpaid")))</f>
      </c>
      <c r="L172" s="5"/>
      <c r="M172" s="4"/>
      <c r="N172">
        <f>IF(OR($B172="",J172&lt;=0),"",J172+ROW()/100000)</f>
      </c>
      <c r="O172">
        <f>IF(N172="","",COUNTIF($N$4:$N$203,"&gt;"&amp;N172)+1)</f>
      </c>
    </row>
    <row r="173" spans="1:15" x14ac:dyDescent="0.25">
      <c r="A173" s="4"/>
      <c r="B173" s="4"/>
      <c r="C173" s="4"/>
      <c r="D173" s="4"/>
      <c r="E173" s="4"/>
      <c r="F173" s="9"/>
      <c r="G173" s="9"/>
      <c r="H173" s="9"/>
      <c r="I173" s="9"/>
      <c r="J173" s="10">
        <f>IF($B173="","",F173+G173+H173-I173)</f>
      </c>
      <c r="K173" s="11">
        <f>IF($B173="","",IF(J173&lt;=0,"Paid",IF(I173&gt;0,"Part paid","Unpaid")))</f>
      </c>
      <c r="L173" s="5"/>
      <c r="M173" s="4"/>
      <c r="N173">
        <f>IF(OR($B173="",J173&lt;=0),"",J173+ROW()/100000)</f>
      </c>
      <c r="O173">
        <f>IF(N173="","",COUNTIF($N$4:$N$203,"&gt;"&amp;N173)+1)</f>
      </c>
    </row>
    <row r="174" spans="1:15" x14ac:dyDescent="0.25">
      <c r="A174" s="4"/>
      <c r="B174" s="4"/>
      <c r="C174" s="4"/>
      <c r="D174" s="4"/>
      <c r="E174" s="4"/>
      <c r="F174" s="9"/>
      <c r="G174" s="9"/>
      <c r="H174" s="9"/>
      <c r="I174" s="9"/>
      <c r="J174" s="10">
        <f>IF($B174="","",F174+G174+H174-I174)</f>
      </c>
      <c r="K174" s="11">
        <f>IF($B174="","",IF(J174&lt;=0,"Paid",IF(I174&gt;0,"Part paid","Unpaid")))</f>
      </c>
      <c r="L174" s="5"/>
      <c r="M174" s="4"/>
      <c r="N174">
        <f>IF(OR($B174="",J174&lt;=0),"",J174+ROW()/100000)</f>
      </c>
      <c r="O174">
        <f>IF(N174="","",COUNTIF($N$4:$N$203,"&gt;"&amp;N174)+1)</f>
      </c>
    </row>
    <row r="175" spans="1:15" x14ac:dyDescent="0.25">
      <c r="A175" s="4"/>
      <c r="B175" s="4"/>
      <c r="C175" s="4"/>
      <c r="D175" s="4"/>
      <c r="E175" s="4"/>
      <c r="F175" s="9"/>
      <c r="G175" s="9"/>
      <c r="H175" s="9"/>
      <c r="I175" s="9"/>
      <c r="J175" s="10">
        <f>IF($B175="","",F175+G175+H175-I175)</f>
      </c>
      <c r="K175" s="11">
        <f>IF($B175="","",IF(J175&lt;=0,"Paid",IF(I175&gt;0,"Part paid","Unpaid")))</f>
      </c>
      <c r="L175" s="5"/>
      <c r="M175" s="4"/>
      <c r="N175">
        <f>IF(OR($B175="",J175&lt;=0),"",J175+ROW()/100000)</f>
      </c>
      <c r="O175">
        <f>IF(N175="","",COUNTIF($N$4:$N$203,"&gt;"&amp;N175)+1)</f>
      </c>
    </row>
    <row r="176" spans="1:15" x14ac:dyDescent="0.25">
      <c r="A176" s="4"/>
      <c r="B176" s="4"/>
      <c r="C176" s="4"/>
      <c r="D176" s="4"/>
      <c r="E176" s="4"/>
      <c r="F176" s="9"/>
      <c r="G176" s="9"/>
      <c r="H176" s="9"/>
      <c r="I176" s="9"/>
      <c r="J176" s="10">
        <f>IF($B176="","",F176+G176+H176-I176)</f>
      </c>
      <c r="K176" s="11">
        <f>IF($B176="","",IF(J176&lt;=0,"Paid",IF(I176&gt;0,"Part paid","Unpaid")))</f>
      </c>
      <c r="L176" s="5"/>
      <c r="M176" s="4"/>
      <c r="N176">
        <f>IF(OR($B176="",J176&lt;=0),"",J176+ROW()/100000)</f>
      </c>
      <c r="O176">
        <f>IF(N176="","",COUNTIF($N$4:$N$203,"&gt;"&amp;N176)+1)</f>
      </c>
    </row>
    <row r="177" spans="1:15" x14ac:dyDescent="0.25">
      <c r="A177" s="4"/>
      <c r="B177" s="4"/>
      <c r="C177" s="4"/>
      <c r="D177" s="4"/>
      <c r="E177" s="4"/>
      <c r="F177" s="9"/>
      <c r="G177" s="9"/>
      <c r="H177" s="9"/>
      <c r="I177" s="9"/>
      <c r="J177" s="10">
        <f>IF($B177="","",F177+G177+H177-I177)</f>
      </c>
      <c r="K177" s="11">
        <f>IF($B177="","",IF(J177&lt;=0,"Paid",IF(I177&gt;0,"Part paid","Unpaid")))</f>
      </c>
      <c r="L177" s="5"/>
      <c r="M177" s="4"/>
      <c r="N177">
        <f>IF(OR($B177="",J177&lt;=0),"",J177+ROW()/100000)</f>
      </c>
      <c r="O177">
        <f>IF(N177="","",COUNTIF($N$4:$N$203,"&gt;"&amp;N177)+1)</f>
      </c>
    </row>
    <row r="178" spans="1:15" x14ac:dyDescent="0.25">
      <c r="A178" s="4"/>
      <c r="B178" s="4"/>
      <c r="C178" s="4"/>
      <c r="D178" s="4"/>
      <c r="E178" s="4"/>
      <c r="F178" s="9"/>
      <c r="G178" s="9"/>
      <c r="H178" s="9"/>
      <c r="I178" s="9"/>
      <c r="J178" s="10">
        <f>IF($B178="","",F178+G178+H178-I178)</f>
      </c>
      <c r="K178" s="11">
        <f>IF($B178="","",IF(J178&lt;=0,"Paid",IF(I178&gt;0,"Part paid","Unpaid")))</f>
      </c>
      <c r="L178" s="5"/>
      <c r="M178" s="4"/>
      <c r="N178">
        <f>IF(OR($B178="",J178&lt;=0),"",J178+ROW()/100000)</f>
      </c>
      <c r="O178">
        <f>IF(N178="","",COUNTIF($N$4:$N$203,"&gt;"&amp;N178)+1)</f>
      </c>
    </row>
    <row r="179" spans="1:15" x14ac:dyDescent="0.25">
      <c r="A179" s="4"/>
      <c r="B179" s="4"/>
      <c r="C179" s="4"/>
      <c r="D179" s="4"/>
      <c r="E179" s="4"/>
      <c r="F179" s="9"/>
      <c r="G179" s="9"/>
      <c r="H179" s="9"/>
      <c r="I179" s="9"/>
      <c r="J179" s="10">
        <f>IF($B179="","",F179+G179+H179-I179)</f>
      </c>
      <c r="K179" s="11">
        <f>IF($B179="","",IF(J179&lt;=0,"Paid",IF(I179&gt;0,"Part paid","Unpaid")))</f>
      </c>
      <c r="L179" s="5"/>
      <c r="M179" s="4"/>
      <c r="N179">
        <f>IF(OR($B179="",J179&lt;=0),"",J179+ROW()/100000)</f>
      </c>
      <c r="O179">
        <f>IF(N179="","",COUNTIF($N$4:$N$203,"&gt;"&amp;N179)+1)</f>
      </c>
    </row>
    <row r="180" spans="1:15" x14ac:dyDescent="0.25">
      <c r="A180" s="4"/>
      <c r="B180" s="4"/>
      <c r="C180" s="4"/>
      <c r="D180" s="4"/>
      <c r="E180" s="4"/>
      <c r="F180" s="9"/>
      <c r="G180" s="9"/>
      <c r="H180" s="9"/>
      <c r="I180" s="9"/>
      <c r="J180" s="10">
        <f>IF($B180="","",F180+G180+H180-I180)</f>
      </c>
      <c r="K180" s="11">
        <f>IF($B180="","",IF(J180&lt;=0,"Paid",IF(I180&gt;0,"Part paid","Unpaid")))</f>
      </c>
      <c r="L180" s="5"/>
      <c r="M180" s="4"/>
      <c r="N180">
        <f>IF(OR($B180="",J180&lt;=0),"",J180+ROW()/100000)</f>
      </c>
      <c r="O180">
        <f>IF(N180="","",COUNTIF($N$4:$N$203,"&gt;"&amp;N180)+1)</f>
      </c>
    </row>
    <row r="181" spans="1:15" x14ac:dyDescent="0.25">
      <c r="A181" s="4"/>
      <c r="B181" s="4"/>
      <c r="C181" s="4"/>
      <c r="D181" s="4"/>
      <c r="E181" s="4"/>
      <c r="F181" s="9"/>
      <c r="G181" s="9"/>
      <c r="H181" s="9"/>
      <c r="I181" s="9"/>
      <c r="J181" s="10">
        <f>IF($B181="","",F181+G181+H181-I181)</f>
      </c>
      <c r="K181" s="11">
        <f>IF($B181="","",IF(J181&lt;=0,"Paid",IF(I181&gt;0,"Part paid","Unpaid")))</f>
      </c>
      <c r="L181" s="5"/>
      <c r="M181" s="4"/>
      <c r="N181">
        <f>IF(OR($B181="",J181&lt;=0),"",J181+ROW()/100000)</f>
      </c>
      <c r="O181">
        <f>IF(N181="","",COUNTIF($N$4:$N$203,"&gt;"&amp;N181)+1)</f>
      </c>
    </row>
    <row r="182" spans="1:15" x14ac:dyDescent="0.25">
      <c r="A182" s="4"/>
      <c r="B182" s="4"/>
      <c r="C182" s="4"/>
      <c r="D182" s="4"/>
      <c r="E182" s="4"/>
      <c r="F182" s="9"/>
      <c r="G182" s="9"/>
      <c r="H182" s="9"/>
      <c r="I182" s="9"/>
      <c r="J182" s="10">
        <f>IF($B182="","",F182+G182+H182-I182)</f>
      </c>
      <c r="K182" s="11">
        <f>IF($B182="","",IF(J182&lt;=0,"Paid",IF(I182&gt;0,"Part paid","Unpaid")))</f>
      </c>
      <c r="L182" s="5"/>
      <c r="M182" s="4"/>
      <c r="N182">
        <f>IF(OR($B182="",J182&lt;=0),"",J182+ROW()/100000)</f>
      </c>
      <c r="O182">
        <f>IF(N182="","",COUNTIF($N$4:$N$203,"&gt;"&amp;N182)+1)</f>
      </c>
    </row>
    <row r="183" spans="1:15" x14ac:dyDescent="0.25">
      <c r="A183" s="4"/>
      <c r="B183" s="4"/>
      <c r="C183" s="4"/>
      <c r="D183" s="4"/>
      <c r="E183" s="4"/>
      <c r="F183" s="9"/>
      <c r="G183" s="9"/>
      <c r="H183" s="9"/>
      <c r="I183" s="9"/>
      <c r="J183" s="10">
        <f>IF($B183="","",F183+G183+H183-I183)</f>
      </c>
      <c r="K183" s="11">
        <f>IF($B183="","",IF(J183&lt;=0,"Paid",IF(I183&gt;0,"Part paid","Unpaid")))</f>
      </c>
      <c r="L183" s="5"/>
      <c r="M183" s="4"/>
      <c r="N183">
        <f>IF(OR($B183="",J183&lt;=0),"",J183+ROW()/100000)</f>
      </c>
      <c r="O183">
        <f>IF(N183="","",COUNTIF($N$4:$N$203,"&gt;"&amp;N183)+1)</f>
      </c>
    </row>
    <row r="184" spans="1:15" x14ac:dyDescent="0.25">
      <c r="A184" s="4"/>
      <c r="B184" s="4"/>
      <c r="C184" s="4"/>
      <c r="D184" s="4"/>
      <c r="E184" s="4"/>
      <c r="F184" s="9"/>
      <c r="G184" s="9"/>
      <c r="H184" s="9"/>
      <c r="I184" s="9"/>
      <c r="J184" s="10">
        <f>IF($B184="","",F184+G184+H184-I184)</f>
      </c>
      <c r="K184" s="11">
        <f>IF($B184="","",IF(J184&lt;=0,"Paid",IF(I184&gt;0,"Part paid","Unpaid")))</f>
      </c>
      <c r="L184" s="5"/>
      <c r="M184" s="4"/>
      <c r="N184">
        <f>IF(OR($B184="",J184&lt;=0),"",J184+ROW()/100000)</f>
      </c>
      <c r="O184">
        <f>IF(N184="","",COUNTIF($N$4:$N$203,"&gt;"&amp;N184)+1)</f>
      </c>
    </row>
    <row r="185" spans="1:15" x14ac:dyDescent="0.25">
      <c r="A185" s="4"/>
      <c r="B185" s="4"/>
      <c r="C185" s="4"/>
      <c r="D185" s="4"/>
      <c r="E185" s="4"/>
      <c r="F185" s="9"/>
      <c r="G185" s="9"/>
      <c r="H185" s="9"/>
      <c r="I185" s="9"/>
      <c r="J185" s="10">
        <f>IF($B185="","",F185+G185+H185-I185)</f>
      </c>
      <c r="K185" s="11">
        <f>IF($B185="","",IF(J185&lt;=0,"Paid",IF(I185&gt;0,"Part paid","Unpaid")))</f>
      </c>
      <c r="L185" s="5"/>
      <c r="M185" s="4"/>
      <c r="N185">
        <f>IF(OR($B185="",J185&lt;=0),"",J185+ROW()/100000)</f>
      </c>
      <c r="O185">
        <f>IF(N185="","",COUNTIF($N$4:$N$203,"&gt;"&amp;N185)+1)</f>
      </c>
    </row>
    <row r="186" spans="1:15" x14ac:dyDescent="0.25">
      <c r="A186" s="4"/>
      <c r="B186" s="4"/>
      <c r="C186" s="4"/>
      <c r="D186" s="4"/>
      <c r="E186" s="4"/>
      <c r="F186" s="9"/>
      <c r="G186" s="9"/>
      <c r="H186" s="9"/>
      <c r="I186" s="9"/>
      <c r="J186" s="10">
        <f>IF($B186="","",F186+G186+H186-I186)</f>
      </c>
      <c r="K186" s="11">
        <f>IF($B186="","",IF(J186&lt;=0,"Paid",IF(I186&gt;0,"Part paid","Unpaid")))</f>
      </c>
      <c r="L186" s="5"/>
      <c r="M186" s="4"/>
      <c r="N186">
        <f>IF(OR($B186="",J186&lt;=0),"",J186+ROW()/100000)</f>
      </c>
      <c r="O186">
        <f>IF(N186="","",COUNTIF($N$4:$N$203,"&gt;"&amp;N186)+1)</f>
      </c>
    </row>
    <row r="187" spans="1:15" x14ac:dyDescent="0.25">
      <c r="A187" s="4"/>
      <c r="B187" s="4"/>
      <c r="C187" s="4"/>
      <c r="D187" s="4"/>
      <c r="E187" s="4"/>
      <c r="F187" s="9"/>
      <c r="G187" s="9"/>
      <c r="H187" s="9"/>
      <c r="I187" s="9"/>
      <c r="J187" s="10">
        <f>IF($B187="","",F187+G187+H187-I187)</f>
      </c>
      <c r="K187" s="11">
        <f>IF($B187="","",IF(J187&lt;=0,"Paid",IF(I187&gt;0,"Part paid","Unpaid")))</f>
      </c>
      <c r="L187" s="5"/>
      <c r="M187" s="4"/>
      <c r="N187">
        <f>IF(OR($B187="",J187&lt;=0),"",J187+ROW()/100000)</f>
      </c>
      <c r="O187">
        <f>IF(N187="","",COUNTIF($N$4:$N$203,"&gt;"&amp;N187)+1)</f>
      </c>
    </row>
    <row r="188" spans="1:15" x14ac:dyDescent="0.25">
      <c r="A188" s="4"/>
      <c r="B188" s="4"/>
      <c r="C188" s="4"/>
      <c r="D188" s="4"/>
      <c r="E188" s="4"/>
      <c r="F188" s="9"/>
      <c r="G188" s="9"/>
      <c r="H188" s="9"/>
      <c r="I188" s="9"/>
      <c r="J188" s="10">
        <f>IF($B188="","",F188+G188+H188-I188)</f>
      </c>
      <c r="K188" s="11">
        <f>IF($B188="","",IF(J188&lt;=0,"Paid",IF(I188&gt;0,"Part paid","Unpaid")))</f>
      </c>
      <c r="L188" s="5"/>
      <c r="M188" s="4"/>
      <c r="N188">
        <f>IF(OR($B188="",J188&lt;=0),"",J188+ROW()/100000)</f>
      </c>
      <c r="O188">
        <f>IF(N188="","",COUNTIF($N$4:$N$203,"&gt;"&amp;N188)+1)</f>
      </c>
    </row>
    <row r="189" spans="1:15" x14ac:dyDescent="0.25">
      <c r="A189" s="4"/>
      <c r="B189" s="4"/>
      <c r="C189" s="4"/>
      <c r="D189" s="4"/>
      <c r="E189" s="4"/>
      <c r="F189" s="9"/>
      <c r="G189" s="9"/>
      <c r="H189" s="9"/>
      <c r="I189" s="9"/>
      <c r="J189" s="10">
        <f>IF($B189="","",F189+G189+H189-I189)</f>
      </c>
      <c r="K189" s="11">
        <f>IF($B189="","",IF(J189&lt;=0,"Paid",IF(I189&gt;0,"Part paid","Unpaid")))</f>
      </c>
      <c r="L189" s="5"/>
      <c r="M189" s="4"/>
      <c r="N189">
        <f>IF(OR($B189="",J189&lt;=0),"",J189+ROW()/100000)</f>
      </c>
      <c r="O189">
        <f>IF(N189="","",COUNTIF($N$4:$N$203,"&gt;"&amp;N189)+1)</f>
      </c>
    </row>
    <row r="190" spans="1:15" x14ac:dyDescent="0.25">
      <c r="A190" s="4"/>
      <c r="B190" s="4"/>
      <c r="C190" s="4"/>
      <c r="D190" s="4"/>
      <c r="E190" s="4"/>
      <c r="F190" s="9"/>
      <c r="G190" s="9"/>
      <c r="H190" s="9"/>
      <c r="I190" s="9"/>
      <c r="J190" s="10">
        <f>IF($B190="","",F190+G190+H190-I190)</f>
      </c>
      <c r="K190" s="11">
        <f>IF($B190="","",IF(J190&lt;=0,"Paid",IF(I190&gt;0,"Part paid","Unpaid")))</f>
      </c>
      <c r="L190" s="5"/>
      <c r="M190" s="4"/>
      <c r="N190">
        <f>IF(OR($B190="",J190&lt;=0),"",J190+ROW()/100000)</f>
      </c>
      <c r="O190">
        <f>IF(N190="","",COUNTIF($N$4:$N$203,"&gt;"&amp;N190)+1)</f>
      </c>
    </row>
    <row r="191" spans="1:15" x14ac:dyDescent="0.25">
      <c r="A191" s="4"/>
      <c r="B191" s="4"/>
      <c r="C191" s="4"/>
      <c r="D191" s="4"/>
      <c r="E191" s="4"/>
      <c r="F191" s="9"/>
      <c r="G191" s="9"/>
      <c r="H191" s="9"/>
      <c r="I191" s="9"/>
      <c r="J191" s="10">
        <f>IF($B191="","",F191+G191+H191-I191)</f>
      </c>
      <c r="K191" s="11">
        <f>IF($B191="","",IF(J191&lt;=0,"Paid",IF(I191&gt;0,"Part paid","Unpaid")))</f>
      </c>
      <c r="L191" s="5"/>
      <c r="M191" s="4"/>
      <c r="N191">
        <f>IF(OR($B191="",J191&lt;=0),"",J191+ROW()/100000)</f>
      </c>
      <c r="O191">
        <f>IF(N191="","",COUNTIF($N$4:$N$203,"&gt;"&amp;N191)+1)</f>
      </c>
    </row>
    <row r="192" spans="1:15" x14ac:dyDescent="0.25">
      <c r="A192" s="4"/>
      <c r="B192" s="4"/>
      <c r="C192" s="4"/>
      <c r="D192" s="4"/>
      <c r="E192" s="4"/>
      <c r="F192" s="9"/>
      <c r="G192" s="9"/>
      <c r="H192" s="9"/>
      <c r="I192" s="9"/>
      <c r="J192" s="10">
        <f>IF($B192="","",F192+G192+H192-I192)</f>
      </c>
      <c r="K192" s="11">
        <f>IF($B192="","",IF(J192&lt;=0,"Paid",IF(I192&gt;0,"Part paid","Unpaid")))</f>
      </c>
      <c r="L192" s="5"/>
      <c r="M192" s="4"/>
      <c r="N192">
        <f>IF(OR($B192="",J192&lt;=0),"",J192+ROW()/100000)</f>
      </c>
      <c r="O192">
        <f>IF(N192="","",COUNTIF($N$4:$N$203,"&gt;"&amp;N192)+1)</f>
      </c>
    </row>
    <row r="193" spans="1:15" x14ac:dyDescent="0.25">
      <c r="A193" s="4"/>
      <c r="B193" s="4"/>
      <c r="C193" s="4"/>
      <c r="D193" s="4"/>
      <c r="E193" s="4"/>
      <c r="F193" s="9"/>
      <c r="G193" s="9"/>
      <c r="H193" s="9"/>
      <c r="I193" s="9"/>
      <c r="J193" s="10">
        <f>IF($B193="","",F193+G193+H193-I193)</f>
      </c>
      <c r="K193" s="11">
        <f>IF($B193="","",IF(J193&lt;=0,"Paid",IF(I193&gt;0,"Part paid","Unpaid")))</f>
      </c>
      <c r="L193" s="5"/>
      <c r="M193" s="4"/>
      <c r="N193">
        <f>IF(OR($B193="",J193&lt;=0),"",J193+ROW()/100000)</f>
      </c>
      <c r="O193">
        <f>IF(N193="","",COUNTIF($N$4:$N$203,"&gt;"&amp;N193)+1)</f>
      </c>
    </row>
    <row r="194" spans="1:15" x14ac:dyDescent="0.25">
      <c r="A194" s="4"/>
      <c r="B194" s="4"/>
      <c r="C194" s="4"/>
      <c r="D194" s="4"/>
      <c r="E194" s="4"/>
      <c r="F194" s="9"/>
      <c r="G194" s="9"/>
      <c r="H194" s="9"/>
      <c r="I194" s="9"/>
      <c r="J194" s="10">
        <f>IF($B194="","",F194+G194+H194-I194)</f>
      </c>
      <c r="K194" s="11">
        <f>IF($B194="","",IF(J194&lt;=0,"Paid",IF(I194&gt;0,"Part paid","Unpaid")))</f>
      </c>
      <c r="L194" s="5"/>
      <c r="M194" s="4"/>
      <c r="N194">
        <f>IF(OR($B194="",J194&lt;=0),"",J194+ROW()/100000)</f>
      </c>
      <c r="O194">
        <f>IF(N194="","",COUNTIF($N$4:$N$203,"&gt;"&amp;N194)+1)</f>
      </c>
    </row>
    <row r="195" spans="1:15" x14ac:dyDescent="0.25">
      <c r="A195" s="4"/>
      <c r="B195" s="4"/>
      <c r="C195" s="4"/>
      <c r="D195" s="4"/>
      <c r="E195" s="4"/>
      <c r="F195" s="9"/>
      <c r="G195" s="9"/>
      <c r="H195" s="9"/>
      <c r="I195" s="9"/>
      <c r="J195" s="10">
        <f>IF($B195="","",F195+G195+H195-I195)</f>
      </c>
      <c r="K195" s="11">
        <f>IF($B195="","",IF(J195&lt;=0,"Paid",IF(I195&gt;0,"Part paid","Unpaid")))</f>
      </c>
      <c r="L195" s="5"/>
      <c r="M195" s="4"/>
      <c r="N195">
        <f>IF(OR($B195="",J195&lt;=0),"",J195+ROW()/100000)</f>
      </c>
      <c r="O195">
        <f>IF(N195="","",COUNTIF($N$4:$N$203,"&gt;"&amp;N195)+1)</f>
      </c>
    </row>
    <row r="196" spans="1:15" x14ac:dyDescent="0.25">
      <c r="A196" s="4"/>
      <c r="B196" s="4"/>
      <c r="C196" s="4"/>
      <c r="D196" s="4"/>
      <c r="E196" s="4"/>
      <c r="F196" s="9"/>
      <c r="G196" s="9"/>
      <c r="H196" s="9"/>
      <c r="I196" s="9"/>
      <c r="J196" s="10">
        <f>IF($B196="","",F196+G196+H196-I196)</f>
      </c>
      <c r="K196" s="11">
        <f>IF($B196="","",IF(J196&lt;=0,"Paid",IF(I196&gt;0,"Part paid","Unpaid")))</f>
      </c>
      <c r="L196" s="5"/>
      <c r="M196" s="4"/>
      <c r="N196">
        <f>IF(OR($B196="",J196&lt;=0),"",J196+ROW()/100000)</f>
      </c>
      <c r="O196">
        <f>IF(N196="","",COUNTIF($N$4:$N$203,"&gt;"&amp;N196)+1)</f>
      </c>
    </row>
    <row r="197" spans="1:15" x14ac:dyDescent="0.25">
      <c r="A197" s="4"/>
      <c r="B197" s="4"/>
      <c r="C197" s="4"/>
      <c r="D197" s="4"/>
      <c r="E197" s="4"/>
      <c r="F197" s="9"/>
      <c r="G197" s="9"/>
      <c r="H197" s="9"/>
      <c r="I197" s="9"/>
      <c r="J197" s="10">
        <f>IF($B197="","",F197+G197+H197-I197)</f>
      </c>
      <c r="K197" s="11">
        <f>IF($B197="","",IF(J197&lt;=0,"Paid",IF(I197&gt;0,"Part paid","Unpaid")))</f>
      </c>
      <c r="L197" s="5"/>
      <c r="M197" s="4"/>
      <c r="N197">
        <f>IF(OR($B197="",J197&lt;=0),"",J197+ROW()/100000)</f>
      </c>
      <c r="O197">
        <f>IF(N197="","",COUNTIF($N$4:$N$203,"&gt;"&amp;N197)+1)</f>
      </c>
    </row>
    <row r="198" spans="1:15" x14ac:dyDescent="0.25">
      <c r="A198" s="4"/>
      <c r="B198" s="4"/>
      <c r="C198" s="4"/>
      <c r="D198" s="4"/>
      <c r="E198" s="4"/>
      <c r="F198" s="9"/>
      <c r="G198" s="9"/>
      <c r="H198" s="9"/>
      <c r="I198" s="9"/>
      <c r="J198" s="10">
        <f>IF($B198="","",F198+G198+H198-I198)</f>
      </c>
      <c r="K198" s="11">
        <f>IF($B198="","",IF(J198&lt;=0,"Paid",IF(I198&gt;0,"Part paid","Unpaid")))</f>
      </c>
      <c r="L198" s="5"/>
      <c r="M198" s="4"/>
      <c r="N198">
        <f>IF(OR($B198="",J198&lt;=0),"",J198+ROW()/100000)</f>
      </c>
      <c r="O198">
        <f>IF(N198="","",COUNTIF($N$4:$N$203,"&gt;"&amp;N198)+1)</f>
      </c>
    </row>
    <row r="199" spans="1:15" x14ac:dyDescent="0.25">
      <c r="A199" s="4"/>
      <c r="B199" s="4"/>
      <c r="C199" s="4"/>
      <c r="D199" s="4"/>
      <c r="E199" s="4"/>
      <c r="F199" s="9"/>
      <c r="G199" s="9"/>
      <c r="H199" s="9"/>
      <c r="I199" s="9"/>
      <c r="J199" s="10">
        <f>IF($B199="","",F199+G199+H199-I199)</f>
      </c>
      <c r="K199" s="11">
        <f>IF($B199="","",IF(J199&lt;=0,"Paid",IF(I199&gt;0,"Part paid","Unpaid")))</f>
      </c>
      <c r="L199" s="5"/>
      <c r="M199" s="4"/>
      <c r="N199">
        <f>IF(OR($B199="",J199&lt;=0),"",J199+ROW()/100000)</f>
      </c>
      <c r="O199">
        <f>IF(N199="","",COUNTIF($N$4:$N$203,"&gt;"&amp;N199)+1)</f>
      </c>
    </row>
    <row r="200" spans="1:15" x14ac:dyDescent="0.25">
      <c r="A200" s="4"/>
      <c r="B200" s="4"/>
      <c r="C200" s="4"/>
      <c r="D200" s="4"/>
      <c r="E200" s="4"/>
      <c r="F200" s="9"/>
      <c r="G200" s="9"/>
      <c r="H200" s="9"/>
      <c r="I200" s="9"/>
      <c r="J200" s="10">
        <f>IF($B200="","",F200+G200+H200-I200)</f>
      </c>
      <c r="K200" s="11">
        <f>IF($B200="","",IF(J200&lt;=0,"Paid",IF(I200&gt;0,"Part paid","Unpaid")))</f>
      </c>
      <c r="L200" s="5"/>
      <c r="M200" s="4"/>
      <c r="N200">
        <f>IF(OR($B200="",J200&lt;=0),"",J200+ROW()/100000)</f>
      </c>
      <c r="O200">
        <f>IF(N200="","",COUNTIF($N$4:$N$203,"&gt;"&amp;N200)+1)</f>
      </c>
    </row>
    <row r="201" spans="1:15" x14ac:dyDescent="0.25">
      <c r="A201" s="4"/>
      <c r="B201" s="4"/>
      <c r="C201" s="4"/>
      <c r="D201" s="4"/>
      <c r="E201" s="4"/>
      <c r="F201" s="9"/>
      <c r="G201" s="9"/>
      <c r="H201" s="9"/>
      <c r="I201" s="9"/>
      <c r="J201" s="10">
        <f>IF($B201="","",F201+G201+H201-I201)</f>
      </c>
      <c r="K201" s="11">
        <f>IF($B201="","",IF(J201&lt;=0,"Paid",IF(I201&gt;0,"Part paid","Unpaid")))</f>
      </c>
      <c r="L201" s="5"/>
      <c r="M201" s="4"/>
      <c r="N201">
        <f>IF(OR($B201="",J201&lt;=0),"",J201+ROW()/100000)</f>
      </c>
      <c r="O201">
        <f>IF(N201="","",COUNTIF($N$4:$N$203,"&gt;"&amp;N201)+1)</f>
      </c>
    </row>
    <row r="202" spans="1:15" x14ac:dyDescent="0.25">
      <c r="A202" s="4"/>
      <c r="B202" s="4"/>
      <c r="C202" s="4"/>
      <c r="D202" s="4"/>
      <c r="E202" s="4"/>
      <c r="F202" s="9"/>
      <c r="G202" s="9"/>
      <c r="H202" s="9"/>
      <c r="I202" s="9"/>
      <c r="J202" s="10">
        <f>IF($B202="","",F202+G202+H202-I202)</f>
      </c>
      <c r="K202" s="11">
        <f>IF($B202="","",IF(J202&lt;=0,"Paid",IF(I202&gt;0,"Part paid","Unpaid")))</f>
      </c>
      <c r="L202" s="5"/>
      <c r="M202" s="4"/>
      <c r="N202">
        <f>IF(OR($B202="",J202&lt;=0),"",J202+ROW()/100000)</f>
      </c>
      <c r="O202">
        <f>IF(N202="","",COUNTIF($N$4:$N$203,"&gt;"&amp;N202)+1)</f>
      </c>
    </row>
    <row r="203" spans="1:15" x14ac:dyDescent="0.25">
      <c r="A203" s="4"/>
      <c r="B203" s="4"/>
      <c r="C203" s="4"/>
      <c r="D203" s="4"/>
      <c r="E203" s="4"/>
      <c r="F203" s="9"/>
      <c r="G203" s="9"/>
      <c r="H203" s="9"/>
      <c r="I203" s="9"/>
      <c r="J203" s="10">
        <f>IF($B203="","",F203+G203+H203-I203)</f>
      </c>
      <c r="K203" s="11">
        <f>IF($B203="","",IF(J203&lt;=0,"Paid",IF(I203&gt;0,"Part paid","Unpaid")))</f>
      </c>
      <c r="L203" s="5"/>
      <c r="M203" s="4"/>
      <c r="N203">
        <f>IF(OR($B203="",J203&lt;=0),"",J203+ROW()/100000)</f>
      </c>
      <c r="O203">
        <f>IF(N203="","",COUNTIF($N$4:$N$203,"&gt;"&amp;N203)+1)</f>
      </c>
    </row>
  </sheetData>
  <mergeCells count="2">
    <mergeCell ref="A1:M1"/>
    <mergeCell ref="A2:M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9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8" customWidth="1"/>
    <col min="3" max="3" width="22" customWidth="1"/>
    <col min="4" max="4" width="12" customWidth="1"/>
    <col min="5" max="5" width="15" customWidth="1"/>
    <col min="6" max="6" width="12" customWidth="1"/>
    <col min="7" max="7" width="11" customWidth="1"/>
    <col min="8" max="8" width="14" customWidth="1"/>
    <col min="9" max="9" width="30" customWidth="1"/>
    <col min="10" max="10" width="6" hidden="1" customWidth="1"/>
  </cols>
  <sheetData>
    <row r="1" spans="1:9" x14ac:dyDescent="0.25">
      <c r="A1" s="12">
        <f>'1. Setup'!$B$4&amp;" · fee defaulters, "&amp;'1. Setup'!$B$6</f>
      </c>
      <c r="B1" s="12"/>
      <c r="C1" s="12"/>
      <c r="D1" s="12"/>
      <c r="E1" s="12"/>
      <c r="F1" s="12"/>
      <c r="G1" s="12"/>
      <c r="H1" s="12"/>
      <c r="I1" s="12"/>
    </row>
    <row r="3" spans="1:4" x14ac:dyDescent="0.25">
      <c r="A3" s="13" t="s">
        <v>70</v>
      </c>
      <c r="B3" s="13"/>
      <c r="C3" s="13"/>
      <c r="D3" s="14">
        <f>SUMIF('2. Fee register'!$J$4:$J$203,"&gt;0")</f>
      </c>
    </row>
    <row r="4" spans="1:4" x14ac:dyDescent="0.25">
      <c r="A4" s="13" t="s">
        <v>71</v>
      </c>
      <c r="B4" s="13"/>
      <c r="C4" s="13"/>
      <c r="D4" s="15">
        <f>COUNTIF('2. Fee register'!$J$4:$J$203,"&gt;0")</f>
      </c>
    </row>
    <row r="5" spans="1:4" x14ac:dyDescent="0.25">
      <c r="A5" s="13" t="s">
        <v>72</v>
      </c>
      <c r="B5" s="13"/>
      <c r="C5" s="13"/>
      <c r="D5" s="15">
        <f>COUNTIF('2. Fee register'!$B$4:$B$203,"?*")</f>
      </c>
    </row>
    <row r="6" spans="1:4" x14ac:dyDescent="0.25">
      <c r="A6" s="13" t="s">
        <v>73</v>
      </c>
      <c r="B6" s="13"/>
      <c r="C6" s="13"/>
      <c r="D6" s="14">
        <f>SUM('2. Fee register'!$I$4:$I$203)</f>
      </c>
    </row>
    <row r="7" spans="1:4" x14ac:dyDescent="0.25">
      <c r="A7" s="13" t="s">
        <v>74</v>
      </c>
      <c r="B7" s="13"/>
      <c r="C7" s="13"/>
      <c r="D7" s="16">
        <f>IFERROR(SUM('2. Fee register'!$I$4:$I$203)/(SUM('2. Fee register'!$F$4:$F$203)+SUM('2. Fee register'!$G$4:$G$203)+SUM('2. Fee register'!$H$4:$H$203)),0)</f>
      </c>
    </row>
    <row r="9" spans="1:9" x14ac:dyDescent="0.25">
      <c r="A9" s="17" t="s">
        <v>75</v>
      </c>
      <c r="B9" s="17" t="s">
        <v>15</v>
      </c>
      <c r="C9" s="17" t="s">
        <v>76</v>
      </c>
      <c r="D9" s="17" t="s">
        <v>18</v>
      </c>
      <c r="E9" s="17" t="s">
        <v>19</v>
      </c>
      <c r="F9" s="17" t="s">
        <v>77</v>
      </c>
      <c r="G9" s="17" t="s">
        <v>25</v>
      </c>
      <c r="H9" s="17" t="s">
        <v>26</v>
      </c>
      <c r="I9" s="17" t="s">
        <v>27</v>
      </c>
    </row>
    <row r="10" spans="1:10" x14ac:dyDescent="0.25">
      <c r="A10" s="18">
        <f>IF($J10="","",1)</f>
      </c>
      <c r="B10" s="18">
        <f>IF($J10="","",INDEX('2. Fee register'!$A$4:$A$203,$J10)&amp;"")</f>
      </c>
      <c r="C10" s="18">
        <f>IF($J10="","",INDEX('2. Fee register'!$B$4:$B$203,$J10)&amp;"")</f>
      </c>
      <c r="D10" s="18">
        <f>IF($J10="","",INDEX('2. Fee register'!$D$4:$D$203,$J10)&amp;"")</f>
      </c>
      <c r="E10" s="18">
        <f>IF($J10="","",INDEX('2. Fee register'!$E$4:$E$203,$J10)&amp;"")</f>
      </c>
      <c r="F10" s="19">
        <f>IF($J10="","",INDEX('2. Fee register'!$J$4:$J$203,$J10))</f>
      </c>
      <c r="G10" s="18">
        <f>IF($J10="","",INDEX('2. Fee register'!$K$4:$K$203,$J10)&amp;"")</f>
      </c>
      <c r="H10" s="20">
        <f>IF($J10="","",IF(INDEX('2. Fee register'!$L$4:$L$203,$J10)="","",INDEX('2. Fee register'!$L$4:$L$203,$J10)))</f>
      </c>
      <c r="I10" s="18">
        <f>IF($J10="","",INDEX('2. Fee register'!$M$4:$M$203,$J10)&amp;"")</f>
      </c>
      <c r="J10">
        <f>IFERROR(MATCH(1,'2. Fee register'!$O$4:$O$203,0),"")</f>
      </c>
    </row>
    <row r="11" spans="1:10" x14ac:dyDescent="0.25">
      <c r="A11" s="18">
        <f>IF($J11="","",2)</f>
      </c>
      <c r="B11" s="18">
        <f>IF($J11="","",INDEX('2. Fee register'!$A$4:$A$203,$J11)&amp;"")</f>
      </c>
      <c r="C11" s="18">
        <f>IF($J11="","",INDEX('2. Fee register'!$B$4:$B$203,$J11)&amp;"")</f>
      </c>
      <c r="D11" s="18">
        <f>IF($J11="","",INDEX('2. Fee register'!$D$4:$D$203,$J11)&amp;"")</f>
      </c>
      <c r="E11" s="18">
        <f>IF($J11="","",INDEX('2. Fee register'!$E$4:$E$203,$J11)&amp;"")</f>
      </c>
      <c r="F11" s="19">
        <f>IF($J11="","",INDEX('2. Fee register'!$J$4:$J$203,$J11))</f>
      </c>
      <c r="G11" s="18">
        <f>IF($J11="","",INDEX('2. Fee register'!$K$4:$K$203,$J11)&amp;"")</f>
      </c>
      <c r="H11" s="20">
        <f>IF($J11="","",IF(INDEX('2. Fee register'!$L$4:$L$203,$J11)="","",INDEX('2. Fee register'!$L$4:$L$203,$J11)))</f>
      </c>
      <c r="I11" s="18">
        <f>IF($J11="","",INDEX('2. Fee register'!$M$4:$M$203,$J11)&amp;"")</f>
      </c>
      <c r="J11">
        <f>IFERROR(MATCH(2,'2. Fee register'!$O$4:$O$203,0),"")</f>
      </c>
    </row>
    <row r="12" spans="1:10" x14ac:dyDescent="0.25">
      <c r="A12" s="18">
        <f>IF($J12="","",3)</f>
      </c>
      <c r="B12" s="18">
        <f>IF($J12="","",INDEX('2. Fee register'!$A$4:$A$203,$J12)&amp;"")</f>
      </c>
      <c r="C12" s="18">
        <f>IF($J12="","",INDEX('2. Fee register'!$B$4:$B$203,$J12)&amp;"")</f>
      </c>
      <c r="D12" s="18">
        <f>IF($J12="","",INDEX('2. Fee register'!$D$4:$D$203,$J12)&amp;"")</f>
      </c>
      <c r="E12" s="18">
        <f>IF($J12="","",INDEX('2. Fee register'!$E$4:$E$203,$J12)&amp;"")</f>
      </c>
      <c r="F12" s="19">
        <f>IF($J12="","",INDEX('2. Fee register'!$J$4:$J$203,$J12))</f>
      </c>
      <c r="G12" s="18">
        <f>IF($J12="","",INDEX('2. Fee register'!$K$4:$K$203,$J12)&amp;"")</f>
      </c>
      <c r="H12" s="20">
        <f>IF($J12="","",IF(INDEX('2. Fee register'!$L$4:$L$203,$J12)="","",INDEX('2. Fee register'!$L$4:$L$203,$J12)))</f>
      </c>
      <c r="I12" s="18">
        <f>IF($J12="","",INDEX('2. Fee register'!$M$4:$M$203,$J12)&amp;"")</f>
      </c>
      <c r="J12">
        <f>IFERROR(MATCH(3,'2. Fee register'!$O$4:$O$203,0),"")</f>
      </c>
    </row>
    <row r="13" spans="1:10" x14ac:dyDescent="0.25">
      <c r="A13" s="18">
        <f>IF($J13="","",4)</f>
      </c>
      <c r="B13" s="18">
        <f>IF($J13="","",INDEX('2. Fee register'!$A$4:$A$203,$J13)&amp;"")</f>
      </c>
      <c r="C13" s="18">
        <f>IF($J13="","",INDEX('2. Fee register'!$B$4:$B$203,$J13)&amp;"")</f>
      </c>
      <c r="D13" s="18">
        <f>IF($J13="","",INDEX('2. Fee register'!$D$4:$D$203,$J13)&amp;"")</f>
      </c>
      <c r="E13" s="18">
        <f>IF($J13="","",INDEX('2. Fee register'!$E$4:$E$203,$J13)&amp;"")</f>
      </c>
      <c r="F13" s="19">
        <f>IF($J13="","",INDEX('2. Fee register'!$J$4:$J$203,$J13))</f>
      </c>
      <c r="G13" s="18">
        <f>IF($J13="","",INDEX('2. Fee register'!$K$4:$K$203,$J13)&amp;"")</f>
      </c>
      <c r="H13" s="20">
        <f>IF($J13="","",IF(INDEX('2. Fee register'!$L$4:$L$203,$J13)="","",INDEX('2. Fee register'!$L$4:$L$203,$J13)))</f>
      </c>
      <c r="I13" s="18">
        <f>IF($J13="","",INDEX('2. Fee register'!$M$4:$M$203,$J13)&amp;"")</f>
      </c>
      <c r="J13">
        <f>IFERROR(MATCH(4,'2. Fee register'!$O$4:$O$203,0),"")</f>
      </c>
    </row>
    <row r="14" spans="1:10" x14ac:dyDescent="0.25">
      <c r="A14" s="18">
        <f>IF($J14="","",5)</f>
      </c>
      <c r="B14" s="18">
        <f>IF($J14="","",INDEX('2. Fee register'!$A$4:$A$203,$J14)&amp;"")</f>
      </c>
      <c r="C14" s="18">
        <f>IF($J14="","",INDEX('2. Fee register'!$B$4:$B$203,$J14)&amp;"")</f>
      </c>
      <c r="D14" s="18">
        <f>IF($J14="","",INDEX('2. Fee register'!$D$4:$D$203,$J14)&amp;"")</f>
      </c>
      <c r="E14" s="18">
        <f>IF($J14="","",INDEX('2. Fee register'!$E$4:$E$203,$J14)&amp;"")</f>
      </c>
      <c r="F14" s="19">
        <f>IF($J14="","",INDEX('2. Fee register'!$J$4:$J$203,$J14))</f>
      </c>
      <c r="G14" s="18">
        <f>IF($J14="","",INDEX('2. Fee register'!$K$4:$K$203,$J14)&amp;"")</f>
      </c>
      <c r="H14" s="20">
        <f>IF($J14="","",IF(INDEX('2. Fee register'!$L$4:$L$203,$J14)="","",INDEX('2. Fee register'!$L$4:$L$203,$J14)))</f>
      </c>
      <c r="I14" s="18">
        <f>IF($J14="","",INDEX('2. Fee register'!$M$4:$M$203,$J14)&amp;"")</f>
      </c>
      <c r="J14">
        <f>IFERROR(MATCH(5,'2. Fee register'!$O$4:$O$203,0),"")</f>
      </c>
    </row>
    <row r="15" spans="1:10" x14ac:dyDescent="0.25">
      <c r="A15" s="18">
        <f>IF($J15="","",6)</f>
      </c>
      <c r="B15" s="18">
        <f>IF($J15="","",INDEX('2. Fee register'!$A$4:$A$203,$J15)&amp;"")</f>
      </c>
      <c r="C15" s="18">
        <f>IF($J15="","",INDEX('2. Fee register'!$B$4:$B$203,$J15)&amp;"")</f>
      </c>
      <c r="D15" s="18">
        <f>IF($J15="","",INDEX('2. Fee register'!$D$4:$D$203,$J15)&amp;"")</f>
      </c>
      <c r="E15" s="18">
        <f>IF($J15="","",INDEX('2. Fee register'!$E$4:$E$203,$J15)&amp;"")</f>
      </c>
      <c r="F15" s="19">
        <f>IF($J15="","",INDEX('2. Fee register'!$J$4:$J$203,$J15))</f>
      </c>
      <c r="G15" s="18">
        <f>IF($J15="","",INDEX('2. Fee register'!$K$4:$K$203,$J15)&amp;"")</f>
      </c>
      <c r="H15" s="20">
        <f>IF($J15="","",IF(INDEX('2. Fee register'!$L$4:$L$203,$J15)="","",INDEX('2. Fee register'!$L$4:$L$203,$J15)))</f>
      </c>
      <c r="I15" s="18">
        <f>IF($J15="","",INDEX('2. Fee register'!$M$4:$M$203,$J15)&amp;"")</f>
      </c>
      <c r="J15">
        <f>IFERROR(MATCH(6,'2. Fee register'!$O$4:$O$203,0),"")</f>
      </c>
    </row>
    <row r="16" spans="1:10" x14ac:dyDescent="0.25">
      <c r="A16" s="18">
        <f>IF($J16="","",7)</f>
      </c>
      <c r="B16" s="18">
        <f>IF($J16="","",INDEX('2. Fee register'!$A$4:$A$203,$J16)&amp;"")</f>
      </c>
      <c r="C16" s="18">
        <f>IF($J16="","",INDEX('2. Fee register'!$B$4:$B$203,$J16)&amp;"")</f>
      </c>
      <c r="D16" s="18">
        <f>IF($J16="","",INDEX('2. Fee register'!$D$4:$D$203,$J16)&amp;"")</f>
      </c>
      <c r="E16" s="18">
        <f>IF($J16="","",INDEX('2. Fee register'!$E$4:$E$203,$J16)&amp;"")</f>
      </c>
      <c r="F16" s="19">
        <f>IF($J16="","",INDEX('2. Fee register'!$J$4:$J$203,$J16))</f>
      </c>
      <c r="G16" s="18">
        <f>IF($J16="","",INDEX('2. Fee register'!$K$4:$K$203,$J16)&amp;"")</f>
      </c>
      <c r="H16" s="20">
        <f>IF($J16="","",IF(INDEX('2. Fee register'!$L$4:$L$203,$J16)="","",INDEX('2. Fee register'!$L$4:$L$203,$J16)))</f>
      </c>
      <c r="I16" s="18">
        <f>IF($J16="","",INDEX('2. Fee register'!$M$4:$M$203,$J16)&amp;"")</f>
      </c>
      <c r="J16">
        <f>IFERROR(MATCH(7,'2. Fee register'!$O$4:$O$203,0),"")</f>
      </c>
    </row>
    <row r="17" spans="1:10" x14ac:dyDescent="0.25">
      <c r="A17" s="18">
        <f>IF($J17="","",8)</f>
      </c>
      <c r="B17" s="18">
        <f>IF($J17="","",INDEX('2. Fee register'!$A$4:$A$203,$J17)&amp;"")</f>
      </c>
      <c r="C17" s="18">
        <f>IF($J17="","",INDEX('2. Fee register'!$B$4:$B$203,$J17)&amp;"")</f>
      </c>
      <c r="D17" s="18">
        <f>IF($J17="","",INDEX('2. Fee register'!$D$4:$D$203,$J17)&amp;"")</f>
      </c>
      <c r="E17" s="18">
        <f>IF($J17="","",INDEX('2. Fee register'!$E$4:$E$203,$J17)&amp;"")</f>
      </c>
      <c r="F17" s="19">
        <f>IF($J17="","",INDEX('2. Fee register'!$J$4:$J$203,$J17))</f>
      </c>
      <c r="G17" s="18">
        <f>IF($J17="","",INDEX('2. Fee register'!$K$4:$K$203,$J17)&amp;"")</f>
      </c>
      <c r="H17" s="20">
        <f>IF($J17="","",IF(INDEX('2. Fee register'!$L$4:$L$203,$J17)="","",INDEX('2. Fee register'!$L$4:$L$203,$J17)))</f>
      </c>
      <c r="I17" s="18">
        <f>IF($J17="","",INDEX('2. Fee register'!$M$4:$M$203,$J17)&amp;"")</f>
      </c>
      <c r="J17">
        <f>IFERROR(MATCH(8,'2. Fee register'!$O$4:$O$203,0),"")</f>
      </c>
    </row>
    <row r="18" spans="1:10" x14ac:dyDescent="0.25">
      <c r="A18" s="18">
        <f>IF($J18="","",9)</f>
      </c>
      <c r="B18" s="18">
        <f>IF($J18="","",INDEX('2. Fee register'!$A$4:$A$203,$J18)&amp;"")</f>
      </c>
      <c r="C18" s="18">
        <f>IF($J18="","",INDEX('2. Fee register'!$B$4:$B$203,$J18)&amp;"")</f>
      </c>
      <c r="D18" s="18">
        <f>IF($J18="","",INDEX('2. Fee register'!$D$4:$D$203,$J18)&amp;"")</f>
      </c>
      <c r="E18" s="18">
        <f>IF($J18="","",INDEX('2. Fee register'!$E$4:$E$203,$J18)&amp;"")</f>
      </c>
      <c r="F18" s="19">
        <f>IF($J18="","",INDEX('2. Fee register'!$J$4:$J$203,$J18))</f>
      </c>
      <c r="G18" s="18">
        <f>IF($J18="","",INDEX('2. Fee register'!$K$4:$K$203,$J18)&amp;"")</f>
      </c>
      <c r="H18" s="20">
        <f>IF($J18="","",IF(INDEX('2. Fee register'!$L$4:$L$203,$J18)="","",INDEX('2. Fee register'!$L$4:$L$203,$J18)))</f>
      </c>
      <c r="I18" s="18">
        <f>IF($J18="","",INDEX('2. Fee register'!$M$4:$M$203,$J18)&amp;"")</f>
      </c>
      <c r="J18">
        <f>IFERROR(MATCH(9,'2. Fee register'!$O$4:$O$203,0),"")</f>
      </c>
    </row>
    <row r="19" spans="1:10" x14ac:dyDescent="0.25">
      <c r="A19" s="18">
        <f>IF($J19="","",10)</f>
      </c>
      <c r="B19" s="18">
        <f>IF($J19="","",INDEX('2. Fee register'!$A$4:$A$203,$J19)&amp;"")</f>
      </c>
      <c r="C19" s="18">
        <f>IF($J19="","",INDEX('2. Fee register'!$B$4:$B$203,$J19)&amp;"")</f>
      </c>
      <c r="D19" s="18">
        <f>IF($J19="","",INDEX('2. Fee register'!$D$4:$D$203,$J19)&amp;"")</f>
      </c>
      <c r="E19" s="18">
        <f>IF($J19="","",INDEX('2. Fee register'!$E$4:$E$203,$J19)&amp;"")</f>
      </c>
      <c r="F19" s="19">
        <f>IF($J19="","",INDEX('2. Fee register'!$J$4:$J$203,$J19))</f>
      </c>
      <c r="G19" s="18">
        <f>IF($J19="","",INDEX('2. Fee register'!$K$4:$K$203,$J19)&amp;"")</f>
      </c>
      <c r="H19" s="20">
        <f>IF($J19="","",IF(INDEX('2. Fee register'!$L$4:$L$203,$J19)="","",INDEX('2. Fee register'!$L$4:$L$203,$J19)))</f>
      </c>
      <c r="I19" s="18">
        <f>IF($J19="","",INDEX('2. Fee register'!$M$4:$M$203,$J19)&amp;"")</f>
      </c>
      <c r="J19">
        <f>IFERROR(MATCH(10,'2. Fee register'!$O$4:$O$203,0),"")</f>
      </c>
    </row>
    <row r="20" spans="1:10" x14ac:dyDescent="0.25">
      <c r="A20" s="18">
        <f>IF($J20="","",11)</f>
      </c>
      <c r="B20" s="18">
        <f>IF($J20="","",INDEX('2. Fee register'!$A$4:$A$203,$J20)&amp;"")</f>
      </c>
      <c r="C20" s="18">
        <f>IF($J20="","",INDEX('2. Fee register'!$B$4:$B$203,$J20)&amp;"")</f>
      </c>
      <c r="D20" s="18">
        <f>IF($J20="","",INDEX('2. Fee register'!$D$4:$D$203,$J20)&amp;"")</f>
      </c>
      <c r="E20" s="18">
        <f>IF($J20="","",INDEX('2. Fee register'!$E$4:$E$203,$J20)&amp;"")</f>
      </c>
      <c r="F20" s="19">
        <f>IF($J20="","",INDEX('2. Fee register'!$J$4:$J$203,$J20))</f>
      </c>
      <c r="G20" s="18">
        <f>IF($J20="","",INDEX('2. Fee register'!$K$4:$K$203,$J20)&amp;"")</f>
      </c>
      <c r="H20" s="20">
        <f>IF($J20="","",IF(INDEX('2. Fee register'!$L$4:$L$203,$J20)="","",INDEX('2. Fee register'!$L$4:$L$203,$J20)))</f>
      </c>
      <c r="I20" s="18">
        <f>IF($J20="","",INDEX('2. Fee register'!$M$4:$M$203,$J20)&amp;"")</f>
      </c>
      <c r="J20">
        <f>IFERROR(MATCH(11,'2. Fee register'!$O$4:$O$203,0),"")</f>
      </c>
    </row>
    <row r="21" spans="1:10" x14ac:dyDescent="0.25">
      <c r="A21" s="18">
        <f>IF($J21="","",12)</f>
      </c>
      <c r="B21" s="18">
        <f>IF($J21="","",INDEX('2. Fee register'!$A$4:$A$203,$J21)&amp;"")</f>
      </c>
      <c r="C21" s="18">
        <f>IF($J21="","",INDEX('2. Fee register'!$B$4:$B$203,$J21)&amp;"")</f>
      </c>
      <c r="D21" s="18">
        <f>IF($J21="","",INDEX('2. Fee register'!$D$4:$D$203,$J21)&amp;"")</f>
      </c>
      <c r="E21" s="18">
        <f>IF($J21="","",INDEX('2. Fee register'!$E$4:$E$203,$J21)&amp;"")</f>
      </c>
      <c r="F21" s="19">
        <f>IF($J21="","",INDEX('2. Fee register'!$J$4:$J$203,$J21))</f>
      </c>
      <c r="G21" s="18">
        <f>IF($J21="","",INDEX('2. Fee register'!$K$4:$K$203,$J21)&amp;"")</f>
      </c>
      <c r="H21" s="20">
        <f>IF($J21="","",IF(INDEX('2. Fee register'!$L$4:$L$203,$J21)="","",INDEX('2. Fee register'!$L$4:$L$203,$J21)))</f>
      </c>
      <c r="I21" s="18">
        <f>IF($J21="","",INDEX('2. Fee register'!$M$4:$M$203,$J21)&amp;"")</f>
      </c>
      <c r="J21">
        <f>IFERROR(MATCH(12,'2. Fee register'!$O$4:$O$203,0),"")</f>
      </c>
    </row>
    <row r="22" spans="1:10" x14ac:dyDescent="0.25">
      <c r="A22" s="18">
        <f>IF($J22="","",13)</f>
      </c>
      <c r="B22" s="18">
        <f>IF($J22="","",INDEX('2. Fee register'!$A$4:$A$203,$J22)&amp;"")</f>
      </c>
      <c r="C22" s="18">
        <f>IF($J22="","",INDEX('2. Fee register'!$B$4:$B$203,$J22)&amp;"")</f>
      </c>
      <c r="D22" s="18">
        <f>IF($J22="","",INDEX('2. Fee register'!$D$4:$D$203,$J22)&amp;"")</f>
      </c>
      <c r="E22" s="18">
        <f>IF($J22="","",INDEX('2. Fee register'!$E$4:$E$203,$J22)&amp;"")</f>
      </c>
      <c r="F22" s="19">
        <f>IF($J22="","",INDEX('2. Fee register'!$J$4:$J$203,$J22))</f>
      </c>
      <c r="G22" s="18">
        <f>IF($J22="","",INDEX('2. Fee register'!$K$4:$K$203,$J22)&amp;"")</f>
      </c>
      <c r="H22" s="20">
        <f>IF($J22="","",IF(INDEX('2. Fee register'!$L$4:$L$203,$J22)="","",INDEX('2. Fee register'!$L$4:$L$203,$J22)))</f>
      </c>
      <c r="I22" s="18">
        <f>IF($J22="","",INDEX('2. Fee register'!$M$4:$M$203,$J22)&amp;"")</f>
      </c>
      <c r="J22">
        <f>IFERROR(MATCH(13,'2. Fee register'!$O$4:$O$203,0),"")</f>
      </c>
    </row>
    <row r="23" spans="1:10" x14ac:dyDescent="0.25">
      <c r="A23" s="18">
        <f>IF($J23="","",14)</f>
      </c>
      <c r="B23" s="18">
        <f>IF($J23="","",INDEX('2. Fee register'!$A$4:$A$203,$J23)&amp;"")</f>
      </c>
      <c r="C23" s="18">
        <f>IF($J23="","",INDEX('2. Fee register'!$B$4:$B$203,$J23)&amp;"")</f>
      </c>
      <c r="D23" s="18">
        <f>IF($J23="","",INDEX('2. Fee register'!$D$4:$D$203,$J23)&amp;"")</f>
      </c>
      <c r="E23" s="18">
        <f>IF($J23="","",INDEX('2. Fee register'!$E$4:$E$203,$J23)&amp;"")</f>
      </c>
      <c r="F23" s="19">
        <f>IF($J23="","",INDEX('2. Fee register'!$J$4:$J$203,$J23))</f>
      </c>
      <c r="G23" s="18">
        <f>IF($J23="","",INDEX('2. Fee register'!$K$4:$K$203,$J23)&amp;"")</f>
      </c>
      <c r="H23" s="20">
        <f>IF($J23="","",IF(INDEX('2. Fee register'!$L$4:$L$203,$J23)="","",INDEX('2. Fee register'!$L$4:$L$203,$J23)))</f>
      </c>
      <c r="I23" s="18">
        <f>IF($J23="","",INDEX('2. Fee register'!$M$4:$M$203,$J23)&amp;"")</f>
      </c>
      <c r="J23">
        <f>IFERROR(MATCH(14,'2. Fee register'!$O$4:$O$203,0),"")</f>
      </c>
    </row>
    <row r="24" spans="1:10" x14ac:dyDescent="0.25">
      <c r="A24" s="18">
        <f>IF($J24="","",15)</f>
      </c>
      <c r="B24" s="18">
        <f>IF($J24="","",INDEX('2. Fee register'!$A$4:$A$203,$J24)&amp;"")</f>
      </c>
      <c r="C24" s="18">
        <f>IF($J24="","",INDEX('2. Fee register'!$B$4:$B$203,$J24)&amp;"")</f>
      </c>
      <c r="D24" s="18">
        <f>IF($J24="","",INDEX('2. Fee register'!$D$4:$D$203,$J24)&amp;"")</f>
      </c>
      <c r="E24" s="18">
        <f>IF($J24="","",INDEX('2. Fee register'!$E$4:$E$203,$J24)&amp;"")</f>
      </c>
      <c r="F24" s="19">
        <f>IF($J24="","",INDEX('2. Fee register'!$J$4:$J$203,$J24))</f>
      </c>
      <c r="G24" s="18">
        <f>IF($J24="","",INDEX('2. Fee register'!$K$4:$K$203,$J24)&amp;"")</f>
      </c>
      <c r="H24" s="20">
        <f>IF($J24="","",IF(INDEX('2. Fee register'!$L$4:$L$203,$J24)="","",INDEX('2. Fee register'!$L$4:$L$203,$J24)))</f>
      </c>
      <c r="I24" s="18">
        <f>IF($J24="","",INDEX('2. Fee register'!$M$4:$M$203,$J24)&amp;"")</f>
      </c>
      <c r="J24">
        <f>IFERROR(MATCH(15,'2. Fee register'!$O$4:$O$203,0),"")</f>
      </c>
    </row>
    <row r="25" spans="1:10" x14ac:dyDescent="0.25">
      <c r="A25" s="18">
        <f>IF($J25="","",16)</f>
      </c>
      <c r="B25" s="18">
        <f>IF($J25="","",INDEX('2. Fee register'!$A$4:$A$203,$J25)&amp;"")</f>
      </c>
      <c r="C25" s="18">
        <f>IF($J25="","",INDEX('2. Fee register'!$B$4:$B$203,$J25)&amp;"")</f>
      </c>
      <c r="D25" s="18">
        <f>IF($J25="","",INDEX('2. Fee register'!$D$4:$D$203,$J25)&amp;"")</f>
      </c>
      <c r="E25" s="18">
        <f>IF($J25="","",INDEX('2. Fee register'!$E$4:$E$203,$J25)&amp;"")</f>
      </c>
      <c r="F25" s="19">
        <f>IF($J25="","",INDEX('2. Fee register'!$J$4:$J$203,$J25))</f>
      </c>
      <c r="G25" s="18">
        <f>IF($J25="","",INDEX('2. Fee register'!$K$4:$K$203,$J25)&amp;"")</f>
      </c>
      <c r="H25" s="20">
        <f>IF($J25="","",IF(INDEX('2. Fee register'!$L$4:$L$203,$J25)="","",INDEX('2. Fee register'!$L$4:$L$203,$J25)))</f>
      </c>
      <c r="I25" s="18">
        <f>IF($J25="","",INDEX('2. Fee register'!$M$4:$M$203,$J25)&amp;"")</f>
      </c>
      <c r="J25">
        <f>IFERROR(MATCH(16,'2. Fee register'!$O$4:$O$203,0),"")</f>
      </c>
    </row>
    <row r="26" spans="1:10" x14ac:dyDescent="0.25">
      <c r="A26" s="18">
        <f>IF($J26="","",17)</f>
      </c>
      <c r="B26" s="18">
        <f>IF($J26="","",INDEX('2. Fee register'!$A$4:$A$203,$J26)&amp;"")</f>
      </c>
      <c r="C26" s="18">
        <f>IF($J26="","",INDEX('2. Fee register'!$B$4:$B$203,$J26)&amp;"")</f>
      </c>
      <c r="D26" s="18">
        <f>IF($J26="","",INDEX('2. Fee register'!$D$4:$D$203,$J26)&amp;"")</f>
      </c>
      <c r="E26" s="18">
        <f>IF($J26="","",INDEX('2. Fee register'!$E$4:$E$203,$J26)&amp;"")</f>
      </c>
      <c r="F26" s="19">
        <f>IF($J26="","",INDEX('2. Fee register'!$J$4:$J$203,$J26))</f>
      </c>
      <c r="G26" s="18">
        <f>IF($J26="","",INDEX('2. Fee register'!$K$4:$K$203,$J26)&amp;"")</f>
      </c>
      <c r="H26" s="20">
        <f>IF($J26="","",IF(INDEX('2. Fee register'!$L$4:$L$203,$J26)="","",INDEX('2. Fee register'!$L$4:$L$203,$J26)))</f>
      </c>
      <c r="I26" s="18">
        <f>IF($J26="","",INDEX('2. Fee register'!$M$4:$M$203,$J26)&amp;"")</f>
      </c>
      <c r="J26">
        <f>IFERROR(MATCH(17,'2. Fee register'!$O$4:$O$203,0),"")</f>
      </c>
    </row>
    <row r="27" spans="1:10" x14ac:dyDescent="0.25">
      <c r="A27" s="18">
        <f>IF($J27="","",18)</f>
      </c>
      <c r="B27" s="18">
        <f>IF($J27="","",INDEX('2. Fee register'!$A$4:$A$203,$J27)&amp;"")</f>
      </c>
      <c r="C27" s="18">
        <f>IF($J27="","",INDEX('2. Fee register'!$B$4:$B$203,$J27)&amp;"")</f>
      </c>
      <c r="D27" s="18">
        <f>IF($J27="","",INDEX('2. Fee register'!$D$4:$D$203,$J27)&amp;"")</f>
      </c>
      <c r="E27" s="18">
        <f>IF($J27="","",INDEX('2. Fee register'!$E$4:$E$203,$J27)&amp;"")</f>
      </c>
      <c r="F27" s="19">
        <f>IF($J27="","",INDEX('2. Fee register'!$J$4:$J$203,$J27))</f>
      </c>
      <c r="G27" s="18">
        <f>IF($J27="","",INDEX('2. Fee register'!$K$4:$K$203,$J27)&amp;"")</f>
      </c>
      <c r="H27" s="20">
        <f>IF($J27="","",IF(INDEX('2. Fee register'!$L$4:$L$203,$J27)="","",INDEX('2. Fee register'!$L$4:$L$203,$J27)))</f>
      </c>
      <c r="I27" s="18">
        <f>IF($J27="","",INDEX('2. Fee register'!$M$4:$M$203,$J27)&amp;"")</f>
      </c>
      <c r="J27">
        <f>IFERROR(MATCH(18,'2. Fee register'!$O$4:$O$203,0),"")</f>
      </c>
    </row>
    <row r="28" spans="1:10" x14ac:dyDescent="0.25">
      <c r="A28" s="18">
        <f>IF($J28="","",19)</f>
      </c>
      <c r="B28" s="18">
        <f>IF($J28="","",INDEX('2. Fee register'!$A$4:$A$203,$J28)&amp;"")</f>
      </c>
      <c r="C28" s="18">
        <f>IF($J28="","",INDEX('2. Fee register'!$B$4:$B$203,$J28)&amp;"")</f>
      </c>
      <c r="D28" s="18">
        <f>IF($J28="","",INDEX('2. Fee register'!$D$4:$D$203,$J28)&amp;"")</f>
      </c>
      <c r="E28" s="18">
        <f>IF($J28="","",INDEX('2. Fee register'!$E$4:$E$203,$J28)&amp;"")</f>
      </c>
      <c r="F28" s="19">
        <f>IF($J28="","",INDEX('2. Fee register'!$J$4:$J$203,$J28))</f>
      </c>
      <c r="G28" s="18">
        <f>IF($J28="","",INDEX('2. Fee register'!$K$4:$K$203,$J28)&amp;"")</f>
      </c>
      <c r="H28" s="20">
        <f>IF($J28="","",IF(INDEX('2. Fee register'!$L$4:$L$203,$J28)="","",INDEX('2. Fee register'!$L$4:$L$203,$J28)))</f>
      </c>
      <c r="I28" s="18">
        <f>IF($J28="","",INDEX('2. Fee register'!$M$4:$M$203,$J28)&amp;"")</f>
      </c>
      <c r="J28">
        <f>IFERROR(MATCH(19,'2. Fee register'!$O$4:$O$203,0),"")</f>
      </c>
    </row>
    <row r="29" spans="1:10" x14ac:dyDescent="0.25">
      <c r="A29" s="18">
        <f>IF($J29="","",20)</f>
      </c>
      <c r="B29" s="18">
        <f>IF($J29="","",INDEX('2. Fee register'!$A$4:$A$203,$J29)&amp;"")</f>
      </c>
      <c r="C29" s="18">
        <f>IF($J29="","",INDEX('2. Fee register'!$B$4:$B$203,$J29)&amp;"")</f>
      </c>
      <c r="D29" s="18">
        <f>IF($J29="","",INDEX('2. Fee register'!$D$4:$D$203,$J29)&amp;"")</f>
      </c>
      <c r="E29" s="18">
        <f>IF($J29="","",INDEX('2. Fee register'!$E$4:$E$203,$J29)&amp;"")</f>
      </c>
      <c r="F29" s="19">
        <f>IF($J29="","",INDEX('2. Fee register'!$J$4:$J$203,$J29))</f>
      </c>
      <c r="G29" s="18">
        <f>IF($J29="","",INDEX('2. Fee register'!$K$4:$K$203,$J29)&amp;"")</f>
      </c>
      <c r="H29" s="20">
        <f>IF($J29="","",IF(INDEX('2. Fee register'!$L$4:$L$203,$J29)="","",INDEX('2. Fee register'!$L$4:$L$203,$J29)))</f>
      </c>
      <c r="I29" s="18">
        <f>IF($J29="","",INDEX('2. Fee register'!$M$4:$M$203,$J29)&amp;"")</f>
      </c>
      <c r="J29">
        <f>IFERROR(MATCH(20,'2. Fee register'!$O$4:$O$203,0),"")</f>
      </c>
    </row>
    <row r="30" spans="1:10" x14ac:dyDescent="0.25">
      <c r="A30" s="18">
        <f>IF($J30="","",21)</f>
      </c>
      <c r="B30" s="18">
        <f>IF($J30="","",INDEX('2. Fee register'!$A$4:$A$203,$J30)&amp;"")</f>
      </c>
      <c r="C30" s="18">
        <f>IF($J30="","",INDEX('2. Fee register'!$B$4:$B$203,$J30)&amp;"")</f>
      </c>
      <c r="D30" s="18">
        <f>IF($J30="","",INDEX('2. Fee register'!$D$4:$D$203,$J30)&amp;"")</f>
      </c>
      <c r="E30" s="18">
        <f>IF($J30="","",INDEX('2. Fee register'!$E$4:$E$203,$J30)&amp;"")</f>
      </c>
      <c r="F30" s="19">
        <f>IF($J30="","",INDEX('2. Fee register'!$J$4:$J$203,$J30))</f>
      </c>
      <c r="G30" s="18">
        <f>IF($J30="","",INDEX('2. Fee register'!$K$4:$K$203,$J30)&amp;"")</f>
      </c>
      <c r="H30" s="20">
        <f>IF($J30="","",IF(INDEX('2. Fee register'!$L$4:$L$203,$J30)="","",INDEX('2. Fee register'!$L$4:$L$203,$J30)))</f>
      </c>
      <c r="I30" s="18">
        <f>IF($J30="","",INDEX('2. Fee register'!$M$4:$M$203,$J30)&amp;"")</f>
      </c>
      <c r="J30">
        <f>IFERROR(MATCH(21,'2. Fee register'!$O$4:$O$203,0),"")</f>
      </c>
    </row>
    <row r="31" spans="1:10" x14ac:dyDescent="0.25">
      <c r="A31" s="18">
        <f>IF($J31="","",22)</f>
      </c>
      <c r="B31" s="18">
        <f>IF($J31="","",INDEX('2. Fee register'!$A$4:$A$203,$J31)&amp;"")</f>
      </c>
      <c r="C31" s="18">
        <f>IF($J31="","",INDEX('2. Fee register'!$B$4:$B$203,$J31)&amp;"")</f>
      </c>
      <c r="D31" s="18">
        <f>IF($J31="","",INDEX('2. Fee register'!$D$4:$D$203,$J31)&amp;"")</f>
      </c>
      <c r="E31" s="18">
        <f>IF($J31="","",INDEX('2. Fee register'!$E$4:$E$203,$J31)&amp;"")</f>
      </c>
      <c r="F31" s="19">
        <f>IF($J31="","",INDEX('2. Fee register'!$J$4:$J$203,$J31))</f>
      </c>
      <c r="G31" s="18">
        <f>IF($J31="","",INDEX('2. Fee register'!$K$4:$K$203,$J31)&amp;"")</f>
      </c>
      <c r="H31" s="20">
        <f>IF($J31="","",IF(INDEX('2. Fee register'!$L$4:$L$203,$J31)="","",INDEX('2. Fee register'!$L$4:$L$203,$J31)))</f>
      </c>
      <c r="I31" s="18">
        <f>IF($J31="","",INDEX('2. Fee register'!$M$4:$M$203,$J31)&amp;"")</f>
      </c>
      <c r="J31">
        <f>IFERROR(MATCH(22,'2. Fee register'!$O$4:$O$203,0),"")</f>
      </c>
    </row>
    <row r="32" spans="1:10" x14ac:dyDescent="0.25">
      <c r="A32" s="18">
        <f>IF($J32="","",23)</f>
      </c>
      <c r="B32" s="18">
        <f>IF($J32="","",INDEX('2. Fee register'!$A$4:$A$203,$J32)&amp;"")</f>
      </c>
      <c r="C32" s="18">
        <f>IF($J32="","",INDEX('2. Fee register'!$B$4:$B$203,$J32)&amp;"")</f>
      </c>
      <c r="D32" s="18">
        <f>IF($J32="","",INDEX('2. Fee register'!$D$4:$D$203,$J32)&amp;"")</f>
      </c>
      <c r="E32" s="18">
        <f>IF($J32="","",INDEX('2. Fee register'!$E$4:$E$203,$J32)&amp;"")</f>
      </c>
      <c r="F32" s="19">
        <f>IF($J32="","",INDEX('2. Fee register'!$J$4:$J$203,$J32))</f>
      </c>
      <c r="G32" s="18">
        <f>IF($J32="","",INDEX('2. Fee register'!$K$4:$K$203,$J32)&amp;"")</f>
      </c>
      <c r="H32" s="20">
        <f>IF($J32="","",IF(INDEX('2. Fee register'!$L$4:$L$203,$J32)="","",INDEX('2. Fee register'!$L$4:$L$203,$J32)))</f>
      </c>
      <c r="I32" s="18">
        <f>IF($J32="","",INDEX('2. Fee register'!$M$4:$M$203,$J32)&amp;"")</f>
      </c>
      <c r="J32">
        <f>IFERROR(MATCH(23,'2. Fee register'!$O$4:$O$203,0),"")</f>
      </c>
    </row>
    <row r="33" spans="1:10" x14ac:dyDescent="0.25">
      <c r="A33" s="18">
        <f>IF($J33="","",24)</f>
      </c>
      <c r="B33" s="18">
        <f>IF($J33="","",INDEX('2. Fee register'!$A$4:$A$203,$J33)&amp;"")</f>
      </c>
      <c r="C33" s="18">
        <f>IF($J33="","",INDEX('2. Fee register'!$B$4:$B$203,$J33)&amp;"")</f>
      </c>
      <c r="D33" s="18">
        <f>IF($J33="","",INDEX('2. Fee register'!$D$4:$D$203,$J33)&amp;"")</f>
      </c>
      <c r="E33" s="18">
        <f>IF($J33="","",INDEX('2. Fee register'!$E$4:$E$203,$J33)&amp;"")</f>
      </c>
      <c r="F33" s="19">
        <f>IF($J33="","",INDEX('2. Fee register'!$J$4:$J$203,$J33))</f>
      </c>
      <c r="G33" s="18">
        <f>IF($J33="","",INDEX('2. Fee register'!$K$4:$K$203,$J33)&amp;"")</f>
      </c>
      <c r="H33" s="20">
        <f>IF($J33="","",IF(INDEX('2. Fee register'!$L$4:$L$203,$J33)="","",INDEX('2. Fee register'!$L$4:$L$203,$J33)))</f>
      </c>
      <c r="I33" s="18">
        <f>IF($J33="","",INDEX('2. Fee register'!$M$4:$M$203,$J33)&amp;"")</f>
      </c>
      <c r="J33">
        <f>IFERROR(MATCH(24,'2. Fee register'!$O$4:$O$203,0),"")</f>
      </c>
    </row>
    <row r="34" spans="1:10" x14ac:dyDescent="0.25">
      <c r="A34" s="18">
        <f>IF($J34="","",25)</f>
      </c>
      <c r="B34" s="18">
        <f>IF($J34="","",INDEX('2. Fee register'!$A$4:$A$203,$J34)&amp;"")</f>
      </c>
      <c r="C34" s="18">
        <f>IF($J34="","",INDEX('2. Fee register'!$B$4:$B$203,$J34)&amp;"")</f>
      </c>
      <c r="D34" s="18">
        <f>IF($J34="","",INDEX('2. Fee register'!$D$4:$D$203,$J34)&amp;"")</f>
      </c>
      <c r="E34" s="18">
        <f>IF($J34="","",INDEX('2. Fee register'!$E$4:$E$203,$J34)&amp;"")</f>
      </c>
      <c r="F34" s="19">
        <f>IF($J34="","",INDEX('2. Fee register'!$J$4:$J$203,$J34))</f>
      </c>
      <c r="G34" s="18">
        <f>IF($J34="","",INDEX('2. Fee register'!$K$4:$K$203,$J34)&amp;"")</f>
      </c>
      <c r="H34" s="20">
        <f>IF($J34="","",IF(INDEX('2. Fee register'!$L$4:$L$203,$J34)="","",INDEX('2. Fee register'!$L$4:$L$203,$J34)))</f>
      </c>
      <c r="I34" s="18">
        <f>IF($J34="","",INDEX('2. Fee register'!$M$4:$M$203,$J34)&amp;"")</f>
      </c>
      <c r="J34">
        <f>IFERROR(MATCH(25,'2. Fee register'!$O$4:$O$203,0),"")</f>
      </c>
    </row>
    <row r="35" spans="1:10" x14ac:dyDescent="0.25">
      <c r="A35" s="18">
        <f>IF($J35="","",26)</f>
      </c>
      <c r="B35" s="18">
        <f>IF($J35="","",INDEX('2. Fee register'!$A$4:$A$203,$J35)&amp;"")</f>
      </c>
      <c r="C35" s="18">
        <f>IF($J35="","",INDEX('2. Fee register'!$B$4:$B$203,$J35)&amp;"")</f>
      </c>
      <c r="D35" s="18">
        <f>IF($J35="","",INDEX('2. Fee register'!$D$4:$D$203,$J35)&amp;"")</f>
      </c>
      <c r="E35" s="18">
        <f>IF($J35="","",INDEX('2. Fee register'!$E$4:$E$203,$J35)&amp;"")</f>
      </c>
      <c r="F35" s="19">
        <f>IF($J35="","",INDEX('2. Fee register'!$J$4:$J$203,$J35))</f>
      </c>
      <c r="G35" s="18">
        <f>IF($J35="","",INDEX('2. Fee register'!$K$4:$K$203,$J35)&amp;"")</f>
      </c>
      <c r="H35" s="20">
        <f>IF($J35="","",IF(INDEX('2. Fee register'!$L$4:$L$203,$J35)="","",INDEX('2. Fee register'!$L$4:$L$203,$J35)))</f>
      </c>
      <c r="I35" s="18">
        <f>IF($J35="","",INDEX('2. Fee register'!$M$4:$M$203,$J35)&amp;"")</f>
      </c>
      <c r="J35">
        <f>IFERROR(MATCH(26,'2. Fee register'!$O$4:$O$203,0),"")</f>
      </c>
    </row>
    <row r="36" spans="1:10" x14ac:dyDescent="0.25">
      <c r="A36" s="18">
        <f>IF($J36="","",27)</f>
      </c>
      <c r="B36" s="18">
        <f>IF($J36="","",INDEX('2. Fee register'!$A$4:$A$203,$J36)&amp;"")</f>
      </c>
      <c r="C36" s="18">
        <f>IF($J36="","",INDEX('2. Fee register'!$B$4:$B$203,$J36)&amp;"")</f>
      </c>
      <c r="D36" s="18">
        <f>IF($J36="","",INDEX('2. Fee register'!$D$4:$D$203,$J36)&amp;"")</f>
      </c>
      <c r="E36" s="18">
        <f>IF($J36="","",INDEX('2. Fee register'!$E$4:$E$203,$J36)&amp;"")</f>
      </c>
      <c r="F36" s="19">
        <f>IF($J36="","",INDEX('2. Fee register'!$J$4:$J$203,$J36))</f>
      </c>
      <c r="G36" s="18">
        <f>IF($J36="","",INDEX('2. Fee register'!$K$4:$K$203,$J36)&amp;"")</f>
      </c>
      <c r="H36" s="20">
        <f>IF($J36="","",IF(INDEX('2. Fee register'!$L$4:$L$203,$J36)="","",INDEX('2. Fee register'!$L$4:$L$203,$J36)))</f>
      </c>
      <c r="I36" s="18">
        <f>IF($J36="","",INDEX('2. Fee register'!$M$4:$M$203,$J36)&amp;"")</f>
      </c>
      <c r="J36">
        <f>IFERROR(MATCH(27,'2. Fee register'!$O$4:$O$203,0),"")</f>
      </c>
    </row>
    <row r="37" spans="1:10" x14ac:dyDescent="0.25">
      <c r="A37" s="18">
        <f>IF($J37="","",28)</f>
      </c>
      <c r="B37" s="18">
        <f>IF($J37="","",INDEX('2. Fee register'!$A$4:$A$203,$J37)&amp;"")</f>
      </c>
      <c r="C37" s="18">
        <f>IF($J37="","",INDEX('2. Fee register'!$B$4:$B$203,$J37)&amp;"")</f>
      </c>
      <c r="D37" s="18">
        <f>IF($J37="","",INDEX('2. Fee register'!$D$4:$D$203,$J37)&amp;"")</f>
      </c>
      <c r="E37" s="18">
        <f>IF($J37="","",INDEX('2. Fee register'!$E$4:$E$203,$J37)&amp;"")</f>
      </c>
      <c r="F37" s="19">
        <f>IF($J37="","",INDEX('2. Fee register'!$J$4:$J$203,$J37))</f>
      </c>
      <c r="G37" s="18">
        <f>IF($J37="","",INDEX('2. Fee register'!$K$4:$K$203,$J37)&amp;"")</f>
      </c>
      <c r="H37" s="20">
        <f>IF($J37="","",IF(INDEX('2. Fee register'!$L$4:$L$203,$J37)="","",INDEX('2. Fee register'!$L$4:$L$203,$J37)))</f>
      </c>
      <c r="I37" s="18">
        <f>IF($J37="","",INDEX('2. Fee register'!$M$4:$M$203,$J37)&amp;"")</f>
      </c>
      <c r="J37">
        <f>IFERROR(MATCH(28,'2. Fee register'!$O$4:$O$203,0),"")</f>
      </c>
    </row>
    <row r="38" spans="1:10" x14ac:dyDescent="0.25">
      <c r="A38" s="18">
        <f>IF($J38="","",29)</f>
      </c>
      <c r="B38" s="18">
        <f>IF($J38="","",INDEX('2. Fee register'!$A$4:$A$203,$J38)&amp;"")</f>
      </c>
      <c r="C38" s="18">
        <f>IF($J38="","",INDEX('2. Fee register'!$B$4:$B$203,$J38)&amp;"")</f>
      </c>
      <c r="D38" s="18">
        <f>IF($J38="","",INDEX('2. Fee register'!$D$4:$D$203,$J38)&amp;"")</f>
      </c>
      <c r="E38" s="18">
        <f>IF($J38="","",INDEX('2. Fee register'!$E$4:$E$203,$J38)&amp;"")</f>
      </c>
      <c r="F38" s="19">
        <f>IF($J38="","",INDEX('2. Fee register'!$J$4:$J$203,$J38))</f>
      </c>
      <c r="G38" s="18">
        <f>IF($J38="","",INDEX('2. Fee register'!$K$4:$K$203,$J38)&amp;"")</f>
      </c>
      <c r="H38" s="20">
        <f>IF($J38="","",IF(INDEX('2. Fee register'!$L$4:$L$203,$J38)="","",INDEX('2. Fee register'!$L$4:$L$203,$J38)))</f>
      </c>
      <c r="I38" s="18">
        <f>IF($J38="","",INDEX('2. Fee register'!$M$4:$M$203,$J38)&amp;"")</f>
      </c>
      <c r="J38">
        <f>IFERROR(MATCH(29,'2. Fee register'!$O$4:$O$203,0),"")</f>
      </c>
    </row>
    <row r="39" spans="1:10" x14ac:dyDescent="0.25">
      <c r="A39" s="18">
        <f>IF($J39="","",30)</f>
      </c>
      <c r="B39" s="18">
        <f>IF($J39="","",INDEX('2. Fee register'!$A$4:$A$203,$J39)&amp;"")</f>
      </c>
      <c r="C39" s="18">
        <f>IF($J39="","",INDEX('2. Fee register'!$B$4:$B$203,$J39)&amp;"")</f>
      </c>
      <c r="D39" s="18">
        <f>IF($J39="","",INDEX('2. Fee register'!$D$4:$D$203,$J39)&amp;"")</f>
      </c>
      <c r="E39" s="18">
        <f>IF($J39="","",INDEX('2. Fee register'!$E$4:$E$203,$J39)&amp;"")</f>
      </c>
      <c r="F39" s="19">
        <f>IF($J39="","",INDEX('2. Fee register'!$J$4:$J$203,$J39))</f>
      </c>
      <c r="G39" s="18">
        <f>IF($J39="","",INDEX('2. Fee register'!$K$4:$K$203,$J39)&amp;"")</f>
      </c>
      <c r="H39" s="20">
        <f>IF($J39="","",IF(INDEX('2. Fee register'!$L$4:$L$203,$J39)="","",INDEX('2. Fee register'!$L$4:$L$203,$J39)))</f>
      </c>
      <c r="I39" s="18">
        <f>IF($J39="","",INDEX('2. Fee register'!$M$4:$M$203,$J39)&amp;"")</f>
      </c>
      <c r="J39">
        <f>IFERROR(MATCH(30,'2. Fee register'!$O$4:$O$203,0),"")</f>
      </c>
    </row>
    <row r="40" spans="1:10" x14ac:dyDescent="0.25">
      <c r="A40" s="18">
        <f>IF($J40="","",31)</f>
      </c>
      <c r="B40" s="18">
        <f>IF($J40="","",INDEX('2. Fee register'!$A$4:$A$203,$J40)&amp;"")</f>
      </c>
      <c r="C40" s="18">
        <f>IF($J40="","",INDEX('2. Fee register'!$B$4:$B$203,$J40)&amp;"")</f>
      </c>
      <c r="D40" s="18">
        <f>IF($J40="","",INDEX('2. Fee register'!$D$4:$D$203,$J40)&amp;"")</f>
      </c>
      <c r="E40" s="18">
        <f>IF($J40="","",INDEX('2. Fee register'!$E$4:$E$203,$J40)&amp;"")</f>
      </c>
      <c r="F40" s="19">
        <f>IF($J40="","",INDEX('2. Fee register'!$J$4:$J$203,$J40))</f>
      </c>
      <c r="G40" s="18">
        <f>IF($J40="","",INDEX('2. Fee register'!$K$4:$K$203,$J40)&amp;"")</f>
      </c>
      <c r="H40" s="20">
        <f>IF($J40="","",IF(INDEX('2. Fee register'!$L$4:$L$203,$J40)="","",INDEX('2. Fee register'!$L$4:$L$203,$J40)))</f>
      </c>
      <c r="I40" s="18">
        <f>IF($J40="","",INDEX('2. Fee register'!$M$4:$M$203,$J40)&amp;"")</f>
      </c>
      <c r="J40">
        <f>IFERROR(MATCH(31,'2. Fee register'!$O$4:$O$203,0),"")</f>
      </c>
    </row>
    <row r="41" spans="1:10" x14ac:dyDescent="0.25">
      <c r="A41" s="18">
        <f>IF($J41="","",32)</f>
      </c>
      <c r="B41" s="18">
        <f>IF($J41="","",INDEX('2. Fee register'!$A$4:$A$203,$J41)&amp;"")</f>
      </c>
      <c r="C41" s="18">
        <f>IF($J41="","",INDEX('2. Fee register'!$B$4:$B$203,$J41)&amp;"")</f>
      </c>
      <c r="D41" s="18">
        <f>IF($J41="","",INDEX('2. Fee register'!$D$4:$D$203,$J41)&amp;"")</f>
      </c>
      <c r="E41" s="18">
        <f>IF($J41="","",INDEX('2. Fee register'!$E$4:$E$203,$J41)&amp;"")</f>
      </c>
      <c r="F41" s="19">
        <f>IF($J41="","",INDEX('2. Fee register'!$J$4:$J$203,$J41))</f>
      </c>
      <c r="G41" s="18">
        <f>IF($J41="","",INDEX('2. Fee register'!$K$4:$K$203,$J41)&amp;"")</f>
      </c>
      <c r="H41" s="20">
        <f>IF($J41="","",IF(INDEX('2. Fee register'!$L$4:$L$203,$J41)="","",INDEX('2. Fee register'!$L$4:$L$203,$J41)))</f>
      </c>
      <c r="I41" s="18">
        <f>IF($J41="","",INDEX('2. Fee register'!$M$4:$M$203,$J41)&amp;"")</f>
      </c>
      <c r="J41">
        <f>IFERROR(MATCH(32,'2. Fee register'!$O$4:$O$203,0),"")</f>
      </c>
    </row>
    <row r="42" spans="1:10" x14ac:dyDescent="0.25">
      <c r="A42" s="18">
        <f>IF($J42="","",33)</f>
      </c>
      <c r="B42" s="18">
        <f>IF($J42="","",INDEX('2. Fee register'!$A$4:$A$203,$J42)&amp;"")</f>
      </c>
      <c r="C42" s="18">
        <f>IF($J42="","",INDEX('2. Fee register'!$B$4:$B$203,$J42)&amp;"")</f>
      </c>
      <c r="D42" s="18">
        <f>IF($J42="","",INDEX('2. Fee register'!$D$4:$D$203,$J42)&amp;"")</f>
      </c>
      <c r="E42" s="18">
        <f>IF($J42="","",INDEX('2. Fee register'!$E$4:$E$203,$J42)&amp;"")</f>
      </c>
      <c r="F42" s="19">
        <f>IF($J42="","",INDEX('2. Fee register'!$J$4:$J$203,$J42))</f>
      </c>
      <c r="G42" s="18">
        <f>IF($J42="","",INDEX('2. Fee register'!$K$4:$K$203,$J42)&amp;"")</f>
      </c>
      <c r="H42" s="20">
        <f>IF($J42="","",IF(INDEX('2. Fee register'!$L$4:$L$203,$J42)="","",INDEX('2. Fee register'!$L$4:$L$203,$J42)))</f>
      </c>
      <c r="I42" s="18">
        <f>IF($J42="","",INDEX('2. Fee register'!$M$4:$M$203,$J42)&amp;"")</f>
      </c>
      <c r="J42">
        <f>IFERROR(MATCH(33,'2. Fee register'!$O$4:$O$203,0),"")</f>
      </c>
    </row>
    <row r="43" spans="1:10" x14ac:dyDescent="0.25">
      <c r="A43" s="18">
        <f>IF($J43="","",34)</f>
      </c>
      <c r="B43" s="18">
        <f>IF($J43="","",INDEX('2. Fee register'!$A$4:$A$203,$J43)&amp;"")</f>
      </c>
      <c r="C43" s="18">
        <f>IF($J43="","",INDEX('2. Fee register'!$B$4:$B$203,$J43)&amp;"")</f>
      </c>
      <c r="D43" s="18">
        <f>IF($J43="","",INDEX('2. Fee register'!$D$4:$D$203,$J43)&amp;"")</f>
      </c>
      <c r="E43" s="18">
        <f>IF($J43="","",INDEX('2. Fee register'!$E$4:$E$203,$J43)&amp;"")</f>
      </c>
      <c r="F43" s="19">
        <f>IF($J43="","",INDEX('2. Fee register'!$J$4:$J$203,$J43))</f>
      </c>
      <c r="G43" s="18">
        <f>IF($J43="","",INDEX('2. Fee register'!$K$4:$K$203,$J43)&amp;"")</f>
      </c>
      <c r="H43" s="20">
        <f>IF($J43="","",IF(INDEX('2. Fee register'!$L$4:$L$203,$J43)="","",INDEX('2. Fee register'!$L$4:$L$203,$J43)))</f>
      </c>
      <c r="I43" s="18">
        <f>IF($J43="","",INDEX('2. Fee register'!$M$4:$M$203,$J43)&amp;"")</f>
      </c>
      <c r="J43">
        <f>IFERROR(MATCH(34,'2. Fee register'!$O$4:$O$203,0),"")</f>
      </c>
    </row>
    <row r="44" spans="1:10" x14ac:dyDescent="0.25">
      <c r="A44" s="18">
        <f>IF($J44="","",35)</f>
      </c>
      <c r="B44" s="18">
        <f>IF($J44="","",INDEX('2. Fee register'!$A$4:$A$203,$J44)&amp;"")</f>
      </c>
      <c r="C44" s="18">
        <f>IF($J44="","",INDEX('2. Fee register'!$B$4:$B$203,$J44)&amp;"")</f>
      </c>
      <c r="D44" s="18">
        <f>IF($J44="","",INDEX('2. Fee register'!$D$4:$D$203,$J44)&amp;"")</f>
      </c>
      <c r="E44" s="18">
        <f>IF($J44="","",INDEX('2. Fee register'!$E$4:$E$203,$J44)&amp;"")</f>
      </c>
      <c r="F44" s="19">
        <f>IF($J44="","",INDEX('2. Fee register'!$J$4:$J$203,$J44))</f>
      </c>
      <c r="G44" s="18">
        <f>IF($J44="","",INDEX('2. Fee register'!$K$4:$K$203,$J44)&amp;"")</f>
      </c>
      <c r="H44" s="20">
        <f>IF($J44="","",IF(INDEX('2. Fee register'!$L$4:$L$203,$J44)="","",INDEX('2. Fee register'!$L$4:$L$203,$J44)))</f>
      </c>
      <c r="I44" s="18">
        <f>IF($J44="","",INDEX('2. Fee register'!$M$4:$M$203,$J44)&amp;"")</f>
      </c>
      <c r="J44">
        <f>IFERROR(MATCH(35,'2. Fee register'!$O$4:$O$203,0),"")</f>
      </c>
    </row>
    <row r="45" spans="1:10" x14ac:dyDescent="0.25">
      <c r="A45" s="18">
        <f>IF($J45="","",36)</f>
      </c>
      <c r="B45" s="18">
        <f>IF($J45="","",INDEX('2. Fee register'!$A$4:$A$203,$J45)&amp;"")</f>
      </c>
      <c r="C45" s="18">
        <f>IF($J45="","",INDEX('2. Fee register'!$B$4:$B$203,$J45)&amp;"")</f>
      </c>
      <c r="D45" s="18">
        <f>IF($J45="","",INDEX('2. Fee register'!$D$4:$D$203,$J45)&amp;"")</f>
      </c>
      <c r="E45" s="18">
        <f>IF($J45="","",INDEX('2. Fee register'!$E$4:$E$203,$J45)&amp;"")</f>
      </c>
      <c r="F45" s="19">
        <f>IF($J45="","",INDEX('2. Fee register'!$J$4:$J$203,$J45))</f>
      </c>
      <c r="G45" s="18">
        <f>IF($J45="","",INDEX('2. Fee register'!$K$4:$K$203,$J45)&amp;"")</f>
      </c>
      <c r="H45" s="20">
        <f>IF($J45="","",IF(INDEX('2. Fee register'!$L$4:$L$203,$J45)="","",INDEX('2. Fee register'!$L$4:$L$203,$J45)))</f>
      </c>
      <c r="I45" s="18">
        <f>IF($J45="","",INDEX('2. Fee register'!$M$4:$M$203,$J45)&amp;"")</f>
      </c>
      <c r="J45">
        <f>IFERROR(MATCH(36,'2. Fee register'!$O$4:$O$203,0),"")</f>
      </c>
    </row>
    <row r="46" spans="1:10" x14ac:dyDescent="0.25">
      <c r="A46" s="18">
        <f>IF($J46="","",37)</f>
      </c>
      <c r="B46" s="18">
        <f>IF($J46="","",INDEX('2. Fee register'!$A$4:$A$203,$J46)&amp;"")</f>
      </c>
      <c r="C46" s="18">
        <f>IF($J46="","",INDEX('2. Fee register'!$B$4:$B$203,$J46)&amp;"")</f>
      </c>
      <c r="D46" s="18">
        <f>IF($J46="","",INDEX('2. Fee register'!$D$4:$D$203,$J46)&amp;"")</f>
      </c>
      <c r="E46" s="18">
        <f>IF($J46="","",INDEX('2. Fee register'!$E$4:$E$203,$J46)&amp;"")</f>
      </c>
      <c r="F46" s="19">
        <f>IF($J46="","",INDEX('2. Fee register'!$J$4:$J$203,$J46))</f>
      </c>
      <c r="G46" s="18">
        <f>IF($J46="","",INDEX('2. Fee register'!$K$4:$K$203,$J46)&amp;"")</f>
      </c>
      <c r="H46" s="20">
        <f>IF($J46="","",IF(INDEX('2. Fee register'!$L$4:$L$203,$J46)="","",INDEX('2. Fee register'!$L$4:$L$203,$J46)))</f>
      </c>
      <c r="I46" s="18">
        <f>IF($J46="","",INDEX('2. Fee register'!$M$4:$M$203,$J46)&amp;"")</f>
      </c>
      <c r="J46">
        <f>IFERROR(MATCH(37,'2. Fee register'!$O$4:$O$203,0),"")</f>
      </c>
    </row>
    <row r="47" spans="1:10" x14ac:dyDescent="0.25">
      <c r="A47" s="18">
        <f>IF($J47="","",38)</f>
      </c>
      <c r="B47" s="18">
        <f>IF($J47="","",INDEX('2. Fee register'!$A$4:$A$203,$J47)&amp;"")</f>
      </c>
      <c r="C47" s="18">
        <f>IF($J47="","",INDEX('2. Fee register'!$B$4:$B$203,$J47)&amp;"")</f>
      </c>
      <c r="D47" s="18">
        <f>IF($J47="","",INDEX('2. Fee register'!$D$4:$D$203,$J47)&amp;"")</f>
      </c>
      <c r="E47" s="18">
        <f>IF($J47="","",INDEX('2. Fee register'!$E$4:$E$203,$J47)&amp;"")</f>
      </c>
      <c r="F47" s="19">
        <f>IF($J47="","",INDEX('2. Fee register'!$J$4:$J$203,$J47))</f>
      </c>
      <c r="G47" s="18">
        <f>IF($J47="","",INDEX('2. Fee register'!$K$4:$K$203,$J47)&amp;"")</f>
      </c>
      <c r="H47" s="20">
        <f>IF($J47="","",IF(INDEX('2. Fee register'!$L$4:$L$203,$J47)="","",INDEX('2. Fee register'!$L$4:$L$203,$J47)))</f>
      </c>
      <c r="I47" s="18">
        <f>IF($J47="","",INDEX('2. Fee register'!$M$4:$M$203,$J47)&amp;"")</f>
      </c>
      <c r="J47">
        <f>IFERROR(MATCH(38,'2. Fee register'!$O$4:$O$203,0),"")</f>
      </c>
    </row>
    <row r="48" spans="1:10" x14ac:dyDescent="0.25">
      <c r="A48" s="18">
        <f>IF($J48="","",39)</f>
      </c>
      <c r="B48" s="18">
        <f>IF($J48="","",INDEX('2. Fee register'!$A$4:$A$203,$J48)&amp;"")</f>
      </c>
      <c r="C48" s="18">
        <f>IF($J48="","",INDEX('2. Fee register'!$B$4:$B$203,$J48)&amp;"")</f>
      </c>
      <c r="D48" s="18">
        <f>IF($J48="","",INDEX('2. Fee register'!$D$4:$D$203,$J48)&amp;"")</f>
      </c>
      <c r="E48" s="18">
        <f>IF($J48="","",INDEX('2. Fee register'!$E$4:$E$203,$J48)&amp;"")</f>
      </c>
      <c r="F48" s="19">
        <f>IF($J48="","",INDEX('2. Fee register'!$J$4:$J$203,$J48))</f>
      </c>
      <c r="G48" s="18">
        <f>IF($J48="","",INDEX('2. Fee register'!$K$4:$K$203,$J48)&amp;"")</f>
      </c>
      <c r="H48" s="20">
        <f>IF($J48="","",IF(INDEX('2. Fee register'!$L$4:$L$203,$J48)="","",INDEX('2. Fee register'!$L$4:$L$203,$J48)))</f>
      </c>
      <c r="I48" s="18">
        <f>IF($J48="","",INDEX('2. Fee register'!$M$4:$M$203,$J48)&amp;"")</f>
      </c>
      <c r="J48">
        <f>IFERROR(MATCH(39,'2. Fee register'!$O$4:$O$203,0),"")</f>
      </c>
    </row>
    <row r="49" spans="1:10" x14ac:dyDescent="0.25">
      <c r="A49" s="18">
        <f>IF($J49="","",40)</f>
      </c>
      <c r="B49" s="18">
        <f>IF($J49="","",INDEX('2. Fee register'!$A$4:$A$203,$J49)&amp;"")</f>
      </c>
      <c r="C49" s="18">
        <f>IF($J49="","",INDEX('2. Fee register'!$B$4:$B$203,$J49)&amp;"")</f>
      </c>
      <c r="D49" s="18">
        <f>IF($J49="","",INDEX('2. Fee register'!$D$4:$D$203,$J49)&amp;"")</f>
      </c>
      <c r="E49" s="18">
        <f>IF($J49="","",INDEX('2. Fee register'!$E$4:$E$203,$J49)&amp;"")</f>
      </c>
      <c r="F49" s="19">
        <f>IF($J49="","",INDEX('2. Fee register'!$J$4:$J$203,$J49))</f>
      </c>
      <c r="G49" s="18">
        <f>IF($J49="","",INDEX('2. Fee register'!$K$4:$K$203,$J49)&amp;"")</f>
      </c>
      <c r="H49" s="20">
        <f>IF($J49="","",IF(INDEX('2. Fee register'!$L$4:$L$203,$J49)="","",INDEX('2. Fee register'!$L$4:$L$203,$J49)))</f>
      </c>
      <c r="I49" s="18">
        <f>IF($J49="","",INDEX('2. Fee register'!$M$4:$M$203,$J49)&amp;"")</f>
      </c>
      <c r="J49">
        <f>IFERROR(MATCH(40,'2. Fee register'!$O$4:$O$203,0),"")</f>
      </c>
    </row>
    <row r="50" spans="1:10" x14ac:dyDescent="0.25">
      <c r="A50" s="18">
        <f>IF($J50="","",41)</f>
      </c>
      <c r="B50" s="18">
        <f>IF($J50="","",INDEX('2. Fee register'!$A$4:$A$203,$J50)&amp;"")</f>
      </c>
      <c r="C50" s="18">
        <f>IF($J50="","",INDEX('2. Fee register'!$B$4:$B$203,$J50)&amp;"")</f>
      </c>
      <c r="D50" s="18">
        <f>IF($J50="","",INDEX('2. Fee register'!$D$4:$D$203,$J50)&amp;"")</f>
      </c>
      <c r="E50" s="18">
        <f>IF($J50="","",INDEX('2. Fee register'!$E$4:$E$203,$J50)&amp;"")</f>
      </c>
      <c r="F50" s="19">
        <f>IF($J50="","",INDEX('2. Fee register'!$J$4:$J$203,$J50))</f>
      </c>
      <c r="G50" s="18">
        <f>IF($J50="","",INDEX('2. Fee register'!$K$4:$K$203,$J50)&amp;"")</f>
      </c>
      <c r="H50" s="20">
        <f>IF($J50="","",IF(INDEX('2. Fee register'!$L$4:$L$203,$J50)="","",INDEX('2. Fee register'!$L$4:$L$203,$J50)))</f>
      </c>
      <c r="I50" s="18">
        <f>IF($J50="","",INDEX('2. Fee register'!$M$4:$M$203,$J50)&amp;"")</f>
      </c>
      <c r="J50">
        <f>IFERROR(MATCH(41,'2. Fee register'!$O$4:$O$203,0),"")</f>
      </c>
    </row>
    <row r="51" spans="1:10" x14ac:dyDescent="0.25">
      <c r="A51" s="18">
        <f>IF($J51="","",42)</f>
      </c>
      <c r="B51" s="18">
        <f>IF($J51="","",INDEX('2. Fee register'!$A$4:$A$203,$J51)&amp;"")</f>
      </c>
      <c r="C51" s="18">
        <f>IF($J51="","",INDEX('2. Fee register'!$B$4:$B$203,$J51)&amp;"")</f>
      </c>
      <c r="D51" s="18">
        <f>IF($J51="","",INDEX('2. Fee register'!$D$4:$D$203,$J51)&amp;"")</f>
      </c>
      <c r="E51" s="18">
        <f>IF($J51="","",INDEX('2. Fee register'!$E$4:$E$203,$J51)&amp;"")</f>
      </c>
      <c r="F51" s="19">
        <f>IF($J51="","",INDEX('2. Fee register'!$J$4:$J$203,$J51))</f>
      </c>
      <c r="G51" s="18">
        <f>IF($J51="","",INDEX('2. Fee register'!$K$4:$K$203,$J51)&amp;"")</f>
      </c>
      <c r="H51" s="20">
        <f>IF($J51="","",IF(INDEX('2. Fee register'!$L$4:$L$203,$J51)="","",INDEX('2. Fee register'!$L$4:$L$203,$J51)))</f>
      </c>
      <c r="I51" s="18">
        <f>IF($J51="","",INDEX('2. Fee register'!$M$4:$M$203,$J51)&amp;"")</f>
      </c>
      <c r="J51">
        <f>IFERROR(MATCH(42,'2. Fee register'!$O$4:$O$203,0),"")</f>
      </c>
    </row>
    <row r="52" spans="1:10" x14ac:dyDescent="0.25">
      <c r="A52" s="18">
        <f>IF($J52="","",43)</f>
      </c>
      <c r="B52" s="18">
        <f>IF($J52="","",INDEX('2. Fee register'!$A$4:$A$203,$J52)&amp;"")</f>
      </c>
      <c r="C52" s="18">
        <f>IF($J52="","",INDEX('2. Fee register'!$B$4:$B$203,$J52)&amp;"")</f>
      </c>
      <c r="D52" s="18">
        <f>IF($J52="","",INDEX('2. Fee register'!$D$4:$D$203,$J52)&amp;"")</f>
      </c>
      <c r="E52" s="18">
        <f>IF($J52="","",INDEX('2. Fee register'!$E$4:$E$203,$J52)&amp;"")</f>
      </c>
      <c r="F52" s="19">
        <f>IF($J52="","",INDEX('2. Fee register'!$J$4:$J$203,$J52))</f>
      </c>
      <c r="G52" s="18">
        <f>IF($J52="","",INDEX('2. Fee register'!$K$4:$K$203,$J52)&amp;"")</f>
      </c>
      <c r="H52" s="20">
        <f>IF($J52="","",IF(INDEX('2. Fee register'!$L$4:$L$203,$J52)="","",INDEX('2. Fee register'!$L$4:$L$203,$J52)))</f>
      </c>
      <c r="I52" s="18">
        <f>IF($J52="","",INDEX('2. Fee register'!$M$4:$M$203,$J52)&amp;"")</f>
      </c>
      <c r="J52">
        <f>IFERROR(MATCH(43,'2. Fee register'!$O$4:$O$203,0),"")</f>
      </c>
    </row>
    <row r="53" spans="1:10" x14ac:dyDescent="0.25">
      <c r="A53" s="18">
        <f>IF($J53="","",44)</f>
      </c>
      <c r="B53" s="18">
        <f>IF($J53="","",INDEX('2. Fee register'!$A$4:$A$203,$J53)&amp;"")</f>
      </c>
      <c r="C53" s="18">
        <f>IF($J53="","",INDEX('2. Fee register'!$B$4:$B$203,$J53)&amp;"")</f>
      </c>
      <c r="D53" s="18">
        <f>IF($J53="","",INDEX('2. Fee register'!$D$4:$D$203,$J53)&amp;"")</f>
      </c>
      <c r="E53" s="18">
        <f>IF($J53="","",INDEX('2. Fee register'!$E$4:$E$203,$J53)&amp;"")</f>
      </c>
      <c r="F53" s="19">
        <f>IF($J53="","",INDEX('2. Fee register'!$J$4:$J$203,$J53))</f>
      </c>
      <c r="G53" s="18">
        <f>IF($J53="","",INDEX('2. Fee register'!$K$4:$K$203,$J53)&amp;"")</f>
      </c>
      <c r="H53" s="20">
        <f>IF($J53="","",IF(INDEX('2. Fee register'!$L$4:$L$203,$J53)="","",INDEX('2. Fee register'!$L$4:$L$203,$J53)))</f>
      </c>
      <c r="I53" s="18">
        <f>IF($J53="","",INDEX('2. Fee register'!$M$4:$M$203,$J53)&amp;"")</f>
      </c>
      <c r="J53">
        <f>IFERROR(MATCH(44,'2. Fee register'!$O$4:$O$203,0),"")</f>
      </c>
    </row>
    <row r="54" spans="1:10" x14ac:dyDescent="0.25">
      <c r="A54" s="18">
        <f>IF($J54="","",45)</f>
      </c>
      <c r="B54" s="18">
        <f>IF($J54="","",INDEX('2. Fee register'!$A$4:$A$203,$J54)&amp;"")</f>
      </c>
      <c r="C54" s="18">
        <f>IF($J54="","",INDEX('2. Fee register'!$B$4:$B$203,$J54)&amp;"")</f>
      </c>
      <c r="D54" s="18">
        <f>IF($J54="","",INDEX('2. Fee register'!$D$4:$D$203,$J54)&amp;"")</f>
      </c>
      <c r="E54" s="18">
        <f>IF($J54="","",INDEX('2. Fee register'!$E$4:$E$203,$J54)&amp;"")</f>
      </c>
      <c r="F54" s="19">
        <f>IF($J54="","",INDEX('2. Fee register'!$J$4:$J$203,$J54))</f>
      </c>
      <c r="G54" s="18">
        <f>IF($J54="","",INDEX('2. Fee register'!$K$4:$K$203,$J54)&amp;"")</f>
      </c>
      <c r="H54" s="20">
        <f>IF($J54="","",IF(INDEX('2. Fee register'!$L$4:$L$203,$J54)="","",INDEX('2. Fee register'!$L$4:$L$203,$J54)))</f>
      </c>
      <c r="I54" s="18">
        <f>IF($J54="","",INDEX('2. Fee register'!$M$4:$M$203,$J54)&amp;"")</f>
      </c>
      <c r="J54">
        <f>IFERROR(MATCH(45,'2. Fee register'!$O$4:$O$203,0),"")</f>
      </c>
    </row>
    <row r="55" spans="1:10" x14ac:dyDescent="0.25">
      <c r="A55" s="18">
        <f>IF($J55="","",46)</f>
      </c>
      <c r="B55" s="18">
        <f>IF($J55="","",INDEX('2. Fee register'!$A$4:$A$203,$J55)&amp;"")</f>
      </c>
      <c r="C55" s="18">
        <f>IF($J55="","",INDEX('2. Fee register'!$B$4:$B$203,$J55)&amp;"")</f>
      </c>
      <c r="D55" s="18">
        <f>IF($J55="","",INDEX('2. Fee register'!$D$4:$D$203,$J55)&amp;"")</f>
      </c>
      <c r="E55" s="18">
        <f>IF($J55="","",INDEX('2. Fee register'!$E$4:$E$203,$J55)&amp;"")</f>
      </c>
      <c r="F55" s="19">
        <f>IF($J55="","",INDEX('2. Fee register'!$J$4:$J$203,$J55))</f>
      </c>
      <c r="G55" s="18">
        <f>IF($J55="","",INDEX('2. Fee register'!$K$4:$K$203,$J55)&amp;"")</f>
      </c>
      <c r="H55" s="20">
        <f>IF($J55="","",IF(INDEX('2. Fee register'!$L$4:$L$203,$J55)="","",INDEX('2. Fee register'!$L$4:$L$203,$J55)))</f>
      </c>
      <c r="I55" s="18">
        <f>IF($J55="","",INDEX('2. Fee register'!$M$4:$M$203,$J55)&amp;"")</f>
      </c>
      <c r="J55">
        <f>IFERROR(MATCH(46,'2. Fee register'!$O$4:$O$203,0),"")</f>
      </c>
    </row>
    <row r="56" spans="1:10" x14ac:dyDescent="0.25">
      <c r="A56" s="18">
        <f>IF($J56="","",47)</f>
      </c>
      <c r="B56" s="18">
        <f>IF($J56="","",INDEX('2. Fee register'!$A$4:$A$203,$J56)&amp;"")</f>
      </c>
      <c r="C56" s="18">
        <f>IF($J56="","",INDEX('2. Fee register'!$B$4:$B$203,$J56)&amp;"")</f>
      </c>
      <c r="D56" s="18">
        <f>IF($J56="","",INDEX('2. Fee register'!$D$4:$D$203,$J56)&amp;"")</f>
      </c>
      <c r="E56" s="18">
        <f>IF($J56="","",INDEX('2. Fee register'!$E$4:$E$203,$J56)&amp;"")</f>
      </c>
      <c r="F56" s="19">
        <f>IF($J56="","",INDEX('2. Fee register'!$J$4:$J$203,$J56))</f>
      </c>
      <c r="G56" s="18">
        <f>IF($J56="","",INDEX('2. Fee register'!$K$4:$K$203,$J56)&amp;"")</f>
      </c>
      <c r="H56" s="20">
        <f>IF($J56="","",IF(INDEX('2. Fee register'!$L$4:$L$203,$J56)="","",INDEX('2. Fee register'!$L$4:$L$203,$J56)))</f>
      </c>
      <c r="I56" s="18">
        <f>IF($J56="","",INDEX('2. Fee register'!$M$4:$M$203,$J56)&amp;"")</f>
      </c>
      <c r="J56">
        <f>IFERROR(MATCH(47,'2. Fee register'!$O$4:$O$203,0),"")</f>
      </c>
    </row>
    <row r="57" spans="1:10" x14ac:dyDescent="0.25">
      <c r="A57" s="18">
        <f>IF($J57="","",48)</f>
      </c>
      <c r="B57" s="18">
        <f>IF($J57="","",INDEX('2. Fee register'!$A$4:$A$203,$J57)&amp;"")</f>
      </c>
      <c r="C57" s="18">
        <f>IF($J57="","",INDEX('2. Fee register'!$B$4:$B$203,$J57)&amp;"")</f>
      </c>
      <c r="D57" s="18">
        <f>IF($J57="","",INDEX('2. Fee register'!$D$4:$D$203,$J57)&amp;"")</f>
      </c>
      <c r="E57" s="18">
        <f>IF($J57="","",INDEX('2. Fee register'!$E$4:$E$203,$J57)&amp;"")</f>
      </c>
      <c r="F57" s="19">
        <f>IF($J57="","",INDEX('2. Fee register'!$J$4:$J$203,$J57))</f>
      </c>
      <c r="G57" s="18">
        <f>IF($J57="","",INDEX('2. Fee register'!$K$4:$K$203,$J57)&amp;"")</f>
      </c>
      <c r="H57" s="20">
        <f>IF($J57="","",IF(INDEX('2. Fee register'!$L$4:$L$203,$J57)="","",INDEX('2. Fee register'!$L$4:$L$203,$J57)))</f>
      </c>
      <c r="I57" s="18">
        <f>IF($J57="","",INDEX('2. Fee register'!$M$4:$M$203,$J57)&amp;"")</f>
      </c>
      <c r="J57">
        <f>IFERROR(MATCH(48,'2. Fee register'!$O$4:$O$203,0),"")</f>
      </c>
    </row>
    <row r="58" spans="1:10" x14ac:dyDescent="0.25">
      <c r="A58" s="18">
        <f>IF($J58="","",49)</f>
      </c>
      <c r="B58" s="18">
        <f>IF($J58="","",INDEX('2. Fee register'!$A$4:$A$203,$J58)&amp;"")</f>
      </c>
      <c r="C58" s="18">
        <f>IF($J58="","",INDEX('2. Fee register'!$B$4:$B$203,$J58)&amp;"")</f>
      </c>
      <c r="D58" s="18">
        <f>IF($J58="","",INDEX('2. Fee register'!$D$4:$D$203,$J58)&amp;"")</f>
      </c>
      <c r="E58" s="18">
        <f>IF($J58="","",INDEX('2. Fee register'!$E$4:$E$203,$J58)&amp;"")</f>
      </c>
      <c r="F58" s="19">
        <f>IF($J58="","",INDEX('2. Fee register'!$J$4:$J$203,$J58))</f>
      </c>
      <c r="G58" s="18">
        <f>IF($J58="","",INDEX('2. Fee register'!$K$4:$K$203,$J58)&amp;"")</f>
      </c>
      <c r="H58" s="20">
        <f>IF($J58="","",IF(INDEX('2. Fee register'!$L$4:$L$203,$J58)="","",INDEX('2. Fee register'!$L$4:$L$203,$J58)))</f>
      </c>
      <c r="I58" s="18">
        <f>IF($J58="","",INDEX('2. Fee register'!$M$4:$M$203,$J58)&amp;"")</f>
      </c>
      <c r="J58">
        <f>IFERROR(MATCH(49,'2. Fee register'!$O$4:$O$203,0),"")</f>
      </c>
    </row>
    <row r="59" spans="1:10" x14ac:dyDescent="0.25">
      <c r="A59" s="18">
        <f>IF($J59="","",50)</f>
      </c>
      <c r="B59" s="18">
        <f>IF($J59="","",INDEX('2. Fee register'!$A$4:$A$203,$J59)&amp;"")</f>
      </c>
      <c r="C59" s="18">
        <f>IF($J59="","",INDEX('2. Fee register'!$B$4:$B$203,$J59)&amp;"")</f>
      </c>
      <c r="D59" s="18">
        <f>IF($J59="","",INDEX('2. Fee register'!$D$4:$D$203,$J59)&amp;"")</f>
      </c>
      <c r="E59" s="18">
        <f>IF($J59="","",INDEX('2. Fee register'!$E$4:$E$203,$J59)&amp;"")</f>
      </c>
      <c r="F59" s="19">
        <f>IF($J59="","",INDEX('2. Fee register'!$J$4:$J$203,$J59))</f>
      </c>
      <c r="G59" s="18">
        <f>IF($J59="","",INDEX('2. Fee register'!$K$4:$K$203,$J59)&amp;"")</f>
      </c>
      <c r="H59" s="20">
        <f>IF($J59="","",IF(INDEX('2. Fee register'!$L$4:$L$203,$J59)="","",INDEX('2. Fee register'!$L$4:$L$203,$J59)))</f>
      </c>
      <c r="I59" s="18">
        <f>IF($J59="","",INDEX('2. Fee register'!$M$4:$M$203,$J59)&amp;"")</f>
      </c>
      <c r="J59">
        <f>IFERROR(MATCH(50,'2. Fee register'!$O$4:$O$203,0),"")</f>
      </c>
    </row>
    <row r="60" spans="1:10" x14ac:dyDescent="0.25">
      <c r="A60" s="18">
        <f>IF($J60="","",51)</f>
      </c>
      <c r="B60" s="18">
        <f>IF($J60="","",INDEX('2. Fee register'!$A$4:$A$203,$J60)&amp;"")</f>
      </c>
      <c r="C60" s="18">
        <f>IF($J60="","",INDEX('2. Fee register'!$B$4:$B$203,$J60)&amp;"")</f>
      </c>
      <c r="D60" s="18">
        <f>IF($J60="","",INDEX('2. Fee register'!$D$4:$D$203,$J60)&amp;"")</f>
      </c>
      <c r="E60" s="18">
        <f>IF($J60="","",INDEX('2. Fee register'!$E$4:$E$203,$J60)&amp;"")</f>
      </c>
      <c r="F60" s="19">
        <f>IF($J60="","",INDEX('2. Fee register'!$J$4:$J$203,$J60))</f>
      </c>
      <c r="G60" s="18">
        <f>IF($J60="","",INDEX('2. Fee register'!$K$4:$K$203,$J60)&amp;"")</f>
      </c>
      <c r="H60" s="20">
        <f>IF($J60="","",IF(INDEX('2. Fee register'!$L$4:$L$203,$J60)="","",INDEX('2. Fee register'!$L$4:$L$203,$J60)))</f>
      </c>
      <c r="I60" s="18">
        <f>IF($J60="","",INDEX('2. Fee register'!$M$4:$M$203,$J60)&amp;"")</f>
      </c>
      <c r="J60">
        <f>IFERROR(MATCH(51,'2. Fee register'!$O$4:$O$203,0),"")</f>
      </c>
    </row>
    <row r="61" spans="1:10" x14ac:dyDescent="0.25">
      <c r="A61" s="18">
        <f>IF($J61="","",52)</f>
      </c>
      <c r="B61" s="18">
        <f>IF($J61="","",INDEX('2. Fee register'!$A$4:$A$203,$J61)&amp;"")</f>
      </c>
      <c r="C61" s="18">
        <f>IF($J61="","",INDEX('2. Fee register'!$B$4:$B$203,$J61)&amp;"")</f>
      </c>
      <c r="D61" s="18">
        <f>IF($J61="","",INDEX('2. Fee register'!$D$4:$D$203,$J61)&amp;"")</f>
      </c>
      <c r="E61" s="18">
        <f>IF($J61="","",INDEX('2. Fee register'!$E$4:$E$203,$J61)&amp;"")</f>
      </c>
      <c r="F61" s="19">
        <f>IF($J61="","",INDEX('2. Fee register'!$J$4:$J$203,$J61))</f>
      </c>
      <c r="G61" s="18">
        <f>IF($J61="","",INDEX('2. Fee register'!$K$4:$K$203,$J61)&amp;"")</f>
      </c>
      <c r="H61" s="20">
        <f>IF($J61="","",IF(INDEX('2. Fee register'!$L$4:$L$203,$J61)="","",INDEX('2. Fee register'!$L$4:$L$203,$J61)))</f>
      </c>
      <c r="I61" s="18">
        <f>IF($J61="","",INDEX('2. Fee register'!$M$4:$M$203,$J61)&amp;"")</f>
      </c>
      <c r="J61">
        <f>IFERROR(MATCH(52,'2. Fee register'!$O$4:$O$203,0),"")</f>
      </c>
    </row>
    <row r="62" spans="1:10" x14ac:dyDescent="0.25">
      <c r="A62" s="18">
        <f>IF($J62="","",53)</f>
      </c>
      <c r="B62" s="18">
        <f>IF($J62="","",INDEX('2. Fee register'!$A$4:$A$203,$J62)&amp;"")</f>
      </c>
      <c r="C62" s="18">
        <f>IF($J62="","",INDEX('2. Fee register'!$B$4:$B$203,$J62)&amp;"")</f>
      </c>
      <c r="D62" s="18">
        <f>IF($J62="","",INDEX('2. Fee register'!$D$4:$D$203,$J62)&amp;"")</f>
      </c>
      <c r="E62" s="18">
        <f>IF($J62="","",INDEX('2. Fee register'!$E$4:$E$203,$J62)&amp;"")</f>
      </c>
      <c r="F62" s="19">
        <f>IF($J62="","",INDEX('2. Fee register'!$J$4:$J$203,$J62))</f>
      </c>
      <c r="G62" s="18">
        <f>IF($J62="","",INDEX('2. Fee register'!$K$4:$K$203,$J62)&amp;"")</f>
      </c>
      <c r="H62" s="20">
        <f>IF($J62="","",IF(INDEX('2. Fee register'!$L$4:$L$203,$J62)="","",INDEX('2. Fee register'!$L$4:$L$203,$J62)))</f>
      </c>
      <c r="I62" s="18">
        <f>IF($J62="","",INDEX('2. Fee register'!$M$4:$M$203,$J62)&amp;"")</f>
      </c>
      <c r="J62">
        <f>IFERROR(MATCH(53,'2. Fee register'!$O$4:$O$203,0),"")</f>
      </c>
    </row>
    <row r="63" spans="1:10" x14ac:dyDescent="0.25">
      <c r="A63" s="18">
        <f>IF($J63="","",54)</f>
      </c>
      <c r="B63" s="18">
        <f>IF($J63="","",INDEX('2. Fee register'!$A$4:$A$203,$J63)&amp;"")</f>
      </c>
      <c r="C63" s="18">
        <f>IF($J63="","",INDEX('2. Fee register'!$B$4:$B$203,$J63)&amp;"")</f>
      </c>
      <c r="D63" s="18">
        <f>IF($J63="","",INDEX('2. Fee register'!$D$4:$D$203,$J63)&amp;"")</f>
      </c>
      <c r="E63" s="18">
        <f>IF($J63="","",INDEX('2. Fee register'!$E$4:$E$203,$J63)&amp;"")</f>
      </c>
      <c r="F63" s="19">
        <f>IF($J63="","",INDEX('2. Fee register'!$J$4:$J$203,$J63))</f>
      </c>
      <c r="G63" s="18">
        <f>IF($J63="","",INDEX('2. Fee register'!$K$4:$K$203,$J63)&amp;"")</f>
      </c>
      <c r="H63" s="20">
        <f>IF($J63="","",IF(INDEX('2. Fee register'!$L$4:$L$203,$J63)="","",INDEX('2. Fee register'!$L$4:$L$203,$J63)))</f>
      </c>
      <c r="I63" s="18">
        <f>IF($J63="","",INDEX('2. Fee register'!$M$4:$M$203,$J63)&amp;"")</f>
      </c>
      <c r="J63">
        <f>IFERROR(MATCH(54,'2. Fee register'!$O$4:$O$203,0),"")</f>
      </c>
    </row>
    <row r="64" spans="1:10" x14ac:dyDescent="0.25">
      <c r="A64" s="18">
        <f>IF($J64="","",55)</f>
      </c>
      <c r="B64" s="18">
        <f>IF($J64="","",INDEX('2. Fee register'!$A$4:$A$203,$J64)&amp;"")</f>
      </c>
      <c r="C64" s="18">
        <f>IF($J64="","",INDEX('2. Fee register'!$B$4:$B$203,$J64)&amp;"")</f>
      </c>
      <c r="D64" s="18">
        <f>IF($J64="","",INDEX('2. Fee register'!$D$4:$D$203,$J64)&amp;"")</f>
      </c>
      <c r="E64" s="18">
        <f>IF($J64="","",INDEX('2. Fee register'!$E$4:$E$203,$J64)&amp;"")</f>
      </c>
      <c r="F64" s="19">
        <f>IF($J64="","",INDEX('2. Fee register'!$J$4:$J$203,$J64))</f>
      </c>
      <c r="G64" s="18">
        <f>IF($J64="","",INDEX('2. Fee register'!$K$4:$K$203,$J64)&amp;"")</f>
      </c>
      <c r="H64" s="20">
        <f>IF($J64="","",IF(INDEX('2. Fee register'!$L$4:$L$203,$J64)="","",INDEX('2. Fee register'!$L$4:$L$203,$J64)))</f>
      </c>
      <c r="I64" s="18">
        <f>IF($J64="","",INDEX('2. Fee register'!$M$4:$M$203,$J64)&amp;"")</f>
      </c>
      <c r="J64">
        <f>IFERROR(MATCH(55,'2. Fee register'!$O$4:$O$203,0),"")</f>
      </c>
    </row>
    <row r="65" spans="1:10" x14ac:dyDescent="0.25">
      <c r="A65" s="18">
        <f>IF($J65="","",56)</f>
      </c>
      <c r="B65" s="18">
        <f>IF($J65="","",INDEX('2. Fee register'!$A$4:$A$203,$J65)&amp;"")</f>
      </c>
      <c r="C65" s="18">
        <f>IF($J65="","",INDEX('2. Fee register'!$B$4:$B$203,$J65)&amp;"")</f>
      </c>
      <c r="D65" s="18">
        <f>IF($J65="","",INDEX('2. Fee register'!$D$4:$D$203,$J65)&amp;"")</f>
      </c>
      <c r="E65" s="18">
        <f>IF($J65="","",INDEX('2. Fee register'!$E$4:$E$203,$J65)&amp;"")</f>
      </c>
      <c r="F65" s="19">
        <f>IF($J65="","",INDEX('2. Fee register'!$J$4:$J$203,$J65))</f>
      </c>
      <c r="G65" s="18">
        <f>IF($J65="","",INDEX('2. Fee register'!$K$4:$K$203,$J65)&amp;"")</f>
      </c>
      <c r="H65" s="20">
        <f>IF($J65="","",IF(INDEX('2. Fee register'!$L$4:$L$203,$J65)="","",INDEX('2. Fee register'!$L$4:$L$203,$J65)))</f>
      </c>
      <c r="I65" s="18">
        <f>IF($J65="","",INDEX('2. Fee register'!$M$4:$M$203,$J65)&amp;"")</f>
      </c>
      <c r="J65">
        <f>IFERROR(MATCH(56,'2. Fee register'!$O$4:$O$203,0),"")</f>
      </c>
    </row>
    <row r="66" spans="1:10" x14ac:dyDescent="0.25">
      <c r="A66" s="18">
        <f>IF($J66="","",57)</f>
      </c>
      <c r="B66" s="18">
        <f>IF($J66="","",INDEX('2. Fee register'!$A$4:$A$203,$J66)&amp;"")</f>
      </c>
      <c r="C66" s="18">
        <f>IF($J66="","",INDEX('2. Fee register'!$B$4:$B$203,$J66)&amp;"")</f>
      </c>
      <c r="D66" s="18">
        <f>IF($J66="","",INDEX('2. Fee register'!$D$4:$D$203,$J66)&amp;"")</f>
      </c>
      <c r="E66" s="18">
        <f>IF($J66="","",INDEX('2. Fee register'!$E$4:$E$203,$J66)&amp;"")</f>
      </c>
      <c r="F66" s="19">
        <f>IF($J66="","",INDEX('2. Fee register'!$J$4:$J$203,$J66))</f>
      </c>
      <c r="G66" s="18">
        <f>IF($J66="","",INDEX('2. Fee register'!$K$4:$K$203,$J66)&amp;"")</f>
      </c>
      <c r="H66" s="20">
        <f>IF($J66="","",IF(INDEX('2. Fee register'!$L$4:$L$203,$J66)="","",INDEX('2. Fee register'!$L$4:$L$203,$J66)))</f>
      </c>
      <c r="I66" s="18">
        <f>IF($J66="","",INDEX('2. Fee register'!$M$4:$M$203,$J66)&amp;"")</f>
      </c>
      <c r="J66">
        <f>IFERROR(MATCH(57,'2. Fee register'!$O$4:$O$203,0),"")</f>
      </c>
    </row>
    <row r="67" spans="1:10" x14ac:dyDescent="0.25">
      <c r="A67" s="18">
        <f>IF($J67="","",58)</f>
      </c>
      <c r="B67" s="18">
        <f>IF($J67="","",INDEX('2. Fee register'!$A$4:$A$203,$J67)&amp;"")</f>
      </c>
      <c r="C67" s="18">
        <f>IF($J67="","",INDEX('2. Fee register'!$B$4:$B$203,$J67)&amp;"")</f>
      </c>
      <c r="D67" s="18">
        <f>IF($J67="","",INDEX('2. Fee register'!$D$4:$D$203,$J67)&amp;"")</f>
      </c>
      <c r="E67" s="18">
        <f>IF($J67="","",INDEX('2. Fee register'!$E$4:$E$203,$J67)&amp;"")</f>
      </c>
      <c r="F67" s="19">
        <f>IF($J67="","",INDEX('2. Fee register'!$J$4:$J$203,$J67))</f>
      </c>
      <c r="G67" s="18">
        <f>IF($J67="","",INDEX('2. Fee register'!$K$4:$K$203,$J67)&amp;"")</f>
      </c>
      <c r="H67" s="20">
        <f>IF($J67="","",IF(INDEX('2. Fee register'!$L$4:$L$203,$J67)="","",INDEX('2. Fee register'!$L$4:$L$203,$J67)))</f>
      </c>
      <c r="I67" s="18">
        <f>IF($J67="","",INDEX('2. Fee register'!$M$4:$M$203,$J67)&amp;"")</f>
      </c>
      <c r="J67">
        <f>IFERROR(MATCH(58,'2. Fee register'!$O$4:$O$203,0),"")</f>
      </c>
    </row>
    <row r="68" spans="1:10" x14ac:dyDescent="0.25">
      <c r="A68" s="18">
        <f>IF($J68="","",59)</f>
      </c>
      <c r="B68" s="18">
        <f>IF($J68="","",INDEX('2. Fee register'!$A$4:$A$203,$J68)&amp;"")</f>
      </c>
      <c r="C68" s="18">
        <f>IF($J68="","",INDEX('2. Fee register'!$B$4:$B$203,$J68)&amp;"")</f>
      </c>
      <c r="D68" s="18">
        <f>IF($J68="","",INDEX('2. Fee register'!$D$4:$D$203,$J68)&amp;"")</f>
      </c>
      <c r="E68" s="18">
        <f>IF($J68="","",INDEX('2. Fee register'!$E$4:$E$203,$J68)&amp;"")</f>
      </c>
      <c r="F68" s="19">
        <f>IF($J68="","",INDEX('2. Fee register'!$J$4:$J$203,$J68))</f>
      </c>
      <c r="G68" s="18">
        <f>IF($J68="","",INDEX('2. Fee register'!$K$4:$K$203,$J68)&amp;"")</f>
      </c>
      <c r="H68" s="20">
        <f>IF($J68="","",IF(INDEX('2. Fee register'!$L$4:$L$203,$J68)="","",INDEX('2. Fee register'!$L$4:$L$203,$J68)))</f>
      </c>
      <c r="I68" s="18">
        <f>IF($J68="","",INDEX('2. Fee register'!$M$4:$M$203,$J68)&amp;"")</f>
      </c>
      <c r="J68">
        <f>IFERROR(MATCH(59,'2. Fee register'!$O$4:$O$203,0),"")</f>
      </c>
    </row>
    <row r="69" spans="1:10" x14ac:dyDescent="0.25">
      <c r="A69" s="18">
        <f>IF($J69="","",60)</f>
      </c>
      <c r="B69" s="18">
        <f>IF($J69="","",INDEX('2. Fee register'!$A$4:$A$203,$J69)&amp;"")</f>
      </c>
      <c r="C69" s="18">
        <f>IF($J69="","",INDEX('2. Fee register'!$B$4:$B$203,$J69)&amp;"")</f>
      </c>
      <c r="D69" s="18">
        <f>IF($J69="","",INDEX('2. Fee register'!$D$4:$D$203,$J69)&amp;"")</f>
      </c>
      <c r="E69" s="18">
        <f>IF($J69="","",INDEX('2. Fee register'!$E$4:$E$203,$J69)&amp;"")</f>
      </c>
      <c r="F69" s="19">
        <f>IF($J69="","",INDEX('2. Fee register'!$J$4:$J$203,$J69))</f>
      </c>
      <c r="G69" s="18">
        <f>IF($J69="","",INDEX('2. Fee register'!$K$4:$K$203,$J69)&amp;"")</f>
      </c>
      <c r="H69" s="20">
        <f>IF($J69="","",IF(INDEX('2. Fee register'!$L$4:$L$203,$J69)="","",INDEX('2. Fee register'!$L$4:$L$203,$J69)))</f>
      </c>
      <c r="I69" s="18">
        <f>IF($J69="","",INDEX('2. Fee register'!$M$4:$M$203,$J69)&amp;"")</f>
      </c>
      <c r="J69">
        <f>IFERROR(MATCH(60,'2. Fee register'!$O$4:$O$203,0),"")</f>
      </c>
    </row>
    <row r="70" spans="1:10" x14ac:dyDescent="0.25">
      <c r="A70" s="18">
        <f>IF($J70="","",61)</f>
      </c>
      <c r="B70" s="18">
        <f>IF($J70="","",INDEX('2. Fee register'!$A$4:$A$203,$J70)&amp;"")</f>
      </c>
      <c r="C70" s="18">
        <f>IF($J70="","",INDEX('2. Fee register'!$B$4:$B$203,$J70)&amp;"")</f>
      </c>
      <c r="D70" s="18">
        <f>IF($J70="","",INDEX('2. Fee register'!$D$4:$D$203,$J70)&amp;"")</f>
      </c>
      <c r="E70" s="18">
        <f>IF($J70="","",INDEX('2. Fee register'!$E$4:$E$203,$J70)&amp;"")</f>
      </c>
      <c r="F70" s="19">
        <f>IF($J70="","",INDEX('2. Fee register'!$J$4:$J$203,$J70))</f>
      </c>
      <c r="G70" s="18">
        <f>IF($J70="","",INDEX('2. Fee register'!$K$4:$K$203,$J70)&amp;"")</f>
      </c>
      <c r="H70" s="20">
        <f>IF($J70="","",IF(INDEX('2. Fee register'!$L$4:$L$203,$J70)="","",INDEX('2. Fee register'!$L$4:$L$203,$J70)))</f>
      </c>
      <c r="I70" s="18">
        <f>IF($J70="","",INDEX('2. Fee register'!$M$4:$M$203,$J70)&amp;"")</f>
      </c>
      <c r="J70">
        <f>IFERROR(MATCH(61,'2. Fee register'!$O$4:$O$203,0),"")</f>
      </c>
    </row>
    <row r="71" spans="1:10" x14ac:dyDescent="0.25">
      <c r="A71" s="18">
        <f>IF($J71="","",62)</f>
      </c>
      <c r="B71" s="18">
        <f>IF($J71="","",INDEX('2. Fee register'!$A$4:$A$203,$J71)&amp;"")</f>
      </c>
      <c r="C71" s="18">
        <f>IF($J71="","",INDEX('2. Fee register'!$B$4:$B$203,$J71)&amp;"")</f>
      </c>
      <c r="D71" s="18">
        <f>IF($J71="","",INDEX('2. Fee register'!$D$4:$D$203,$J71)&amp;"")</f>
      </c>
      <c r="E71" s="18">
        <f>IF($J71="","",INDEX('2. Fee register'!$E$4:$E$203,$J71)&amp;"")</f>
      </c>
      <c r="F71" s="19">
        <f>IF($J71="","",INDEX('2. Fee register'!$J$4:$J$203,$J71))</f>
      </c>
      <c r="G71" s="18">
        <f>IF($J71="","",INDEX('2. Fee register'!$K$4:$K$203,$J71)&amp;"")</f>
      </c>
      <c r="H71" s="20">
        <f>IF($J71="","",IF(INDEX('2. Fee register'!$L$4:$L$203,$J71)="","",INDEX('2. Fee register'!$L$4:$L$203,$J71)))</f>
      </c>
      <c r="I71" s="18">
        <f>IF($J71="","",INDEX('2. Fee register'!$M$4:$M$203,$J71)&amp;"")</f>
      </c>
      <c r="J71">
        <f>IFERROR(MATCH(62,'2. Fee register'!$O$4:$O$203,0),"")</f>
      </c>
    </row>
    <row r="72" spans="1:10" x14ac:dyDescent="0.25">
      <c r="A72" s="18">
        <f>IF($J72="","",63)</f>
      </c>
      <c r="B72" s="18">
        <f>IF($J72="","",INDEX('2. Fee register'!$A$4:$A$203,$J72)&amp;"")</f>
      </c>
      <c r="C72" s="18">
        <f>IF($J72="","",INDEX('2. Fee register'!$B$4:$B$203,$J72)&amp;"")</f>
      </c>
      <c r="D72" s="18">
        <f>IF($J72="","",INDEX('2. Fee register'!$D$4:$D$203,$J72)&amp;"")</f>
      </c>
      <c r="E72" s="18">
        <f>IF($J72="","",INDEX('2. Fee register'!$E$4:$E$203,$J72)&amp;"")</f>
      </c>
      <c r="F72" s="19">
        <f>IF($J72="","",INDEX('2. Fee register'!$J$4:$J$203,$J72))</f>
      </c>
      <c r="G72" s="18">
        <f>IF($J72="","",INDEX('2. Fee register'!$K$4:$K$203,$J72)&amp;"")</f>
      </c>
      <c r="H72" s="20">
        <f>IF($J72="","",IF(INDEX('2. Fee register'!$L$4:$L$203,$J72)="","",INDEX('2. Fee register'!$L$4:$L$203,$J72)))</f>
      </c>
      <c r="I72" s="18">
        <f>IF($J72="","",INDEX('2. Fee register'!$M$4:$M$203,$J72)&amp;"")</f>
      </c>
      <c r="J72">
        <f>IFERROR(MATCH(63,'2. Fee register'!$O$4:$O$203,0),"")</f>
      </c>
    </row>
    <row r="73" spans="1:10" x14ac:dyDescent="0.25">
      <c r="A73" s="18">
        <f>IF($J73="","",64)</f>
      </c>
      <c r="B73" s="18">
        <f>IF($J73="","",INDEX('2. Fee register'!$A$4:$A$203,$J73)&amp;"")</f>
      </c>
      <c r="C73" s="18">
        <f>IF($J73="","",INDEX('2. Fee register'!$B$4:$B$203,$J73)&amp;"")</f>
      </c>
      <c r="D73" s="18">
        <f>IF($J73="","",INDEX('2. Fee register'!$D$4:$D$203,$J73)&amp;"")</f>
      </c>
      <c r="E73" s="18">
        <f>IF($J73="","",INDEX('2. Fee register'!$E$4:$E$203,$J73)&amp;"")</f>
      </c>
      <c r="F73" s="19">
        <f>IF($J73="","",INDEX('2. Fee register'!$J$4:$J$203,$J73))</f>
      </c>
      <c r="G73" s="18">
        <f>IF($J73="","",INDEX('2. Fee register'!$K$4:$K$203,$J73)&amp;"")</f>
      </c>
      <c r="H73" s="20">
        <f>IF($J73="","",IF(INDEX('2. Fee register'!$L$4:$L$203,$J73)="","",INDEX('2. Fee register'!$L$4:$L$203,$J73)))</f>
      </c>
      <c r="I73" s="18">
        <f>IF($J73="","",INDEX('2. Fee register'!$M$4:$M$203,$J73)&amp;"")</f>
      </c>
      <c r="J73">
        <f>IFERROR(MATCH(64,'2. Fee register'!$O$4:$O$203,0),"")</f>
      </c>
    </row>
    <row r="74" spans="1:10" x14ac:dyDescent="0.25">
      <c r="A74" s="18">
        <f>IF($J74="","",65)</f>
      </c>
      <c r="B74" s="18">
        <f>IF($J74="","",INDEX('2. Fee register'!$A$4:$A$203,$J74)&amp;"")</f>
      </c>
      <c r="C74" s="18">
        <f>IF($J74="","",INDEX('2. Fee register'!$B$4:$B$203,$J74)&amp;"")</f>
      </c>
      <c r="D74" s="18">
        <f>IF($J74="","",INDEX('2. Fee register'!$D$4:$D$203,$J74)&amp;"")</f>
      </c>
      <c r="E74" s="18">
        <f>IF($J74="","",INDEX('2. Fee register'!$E$4:$E$203,$J74)&amp;"")</f>
      </c>
      <c r="F74" s="19">
        <f>IF($J74="","",INDEX('2. Fee register'!$J$4:$J$203,$J74))</f>
      </c>
      <c r="G74" s="18">
        <f>IF($J74="","",INDEX('2. Fee register'!$K$4:$K$203,$J74)&amp;"")</f>
      </c>
      <c r="H74" s="20">
        <f>IF($J74="","",IF(INDEX('2. Fee register'!$L$4:$L$203,$J74)="","",INDEX('2. Fee register'!$L$4:$L$203,$J74)))</f>
      </c>
      <c r="I74" s="18">
        <f>IF($J74="","",INDEX('2. Fee register'!$M$4:$M$203,$J74)&amp;"")</f>
      </c>
      <c r="J74">
        <f>IFERROR(MATCH(65,'2. Fee register'!$O$4:$O$203,0),"")</f>
      </c>
    </row>
    <row r="75" spans="1:10" x14ac:dyDescent="0.25">
      <c r="A75" s="18">
        <f>IF($J75="","",66)</f>
      </c>
      <c r="B75" s="18">
        <f>IF($J75="","",INDEX('2. Fee register'!$A$4:$A$203,$J75)&amp;"")</f>
      </c>
      <c r="C75" s="18">
        <f>IF($J75="","",INDEX('2. Fee register'!$B$4:$B$203,$J75)&amp;"")</f>
      </c>
      <c r="D75" s="18">
        <f>IF($J75="","",INDEX('2. Fee register'!$D$4:$D$203,$J75)&amp;"")</f>
      </c>
      <c r="E75" s="18">
        <f>IF($J75="","",INDEX('2. Fee register'!$E$4:$E$203,$J75)&amp;"")</f>
      </c>
      <c r="F75" s="19">
        <f>IF($J75="","",INDEX('2. Fee register'!$J$4:$J$203,$J75))</f>
      </c>
      <c r="G75" s="18">
        <f>IF($J75="","",INDEX('2. Fee register'!$K$4:$K$203,$J75)&amp;"")</f>
      </c>
      <c r="H75" s="20">
        <f>IF($J75="","",IF(INDEX('2. Fee register'!$L$4:$L$203,$J75)="","",INDEX('2. Fee register'!$L$4:$L$203,$J75)))</f>
      </c>
      <c r="I75" s="18">
        <f>IF($J75="","",INDEX('2. Fee register'!$M$4:$M$203,$J75)&amp;"")</f>
      </c>
      <c r="J75">
        <f>IFERROR(MATCH(66,'2. Fee register'!$O$4:$O$203,0),"")</f>
      </c>
    </row>
    <row r="76" spans="1:10" x14ac:dyDescent="0.25">
      <c r="A76" s="18">
        <f>IF($J76="","",67)</f>
      </c>
      <c r="B76" s="18">
        <f>IF($J76="","",INDEX('2. Fee register'!$A$4:$A$203,$J76)&amp;"")</f>
      </c>
      <c r="C76" s="18">
        <f>IF($J76="","",INDEX('2. Fee register'!$B$4:$B$203,$J76)&amp;"")</f>
      </c>
      <c r="D76" s="18">
        <f>IF($J76="","",INDEX('2. Fee register'!$D$4:$D$203,$J76)&amp;"")</f>
      </c>
      <c r="E76" s="18">
        <f>IF($J76="","",INDEX('2. Fee register'!$E$4:$E$203,$J76)&amp;"")</f>
      </c>
      <c r="F76" s="19">
        <f>IF($J76="","",INDEX('2. Fee register'!$J$4:$J$203,$J76))</f>
      </c>
      <c r="G76" s="18">
        <f>IF($J76="","",INDEX('2. Fee register'!$K$4:$K$203,$J76)&amp;"")</f>
      </c>
      <c r="H76" s="20">
        <f>IF($J76="","",IF(INDEX('2. Fee register'!$L$4:$L$203,$J76)="","",INDEX('2. Fee register'!$L$4:$L$203,$J76)))</f>
      </c>
      <c r="I76" s="18">
        <f>IF($J76="","",INDEX('2. Fee register'!$M$4:$M$203,$J76)&amp;"")</f>
      </c>
      <c r="J76">
        <f>IFERROR(MATCH(67,'2. Fee register'!$O$4:$O$203,0),"")</f>
      </c>
    </row>
    <row r="77" spans="1:10" x14ac:dyDescent="0.25">
      <c r="A77" s="18">
        <f>IF($J77="","",68)</f>
      </c>
      <c r="B77" s="18">
        <f>IF($J77="","",INDEX('2. Fee register'!$A$4:$A$203,$J77)&amp;"")</f>
      </c>
      <c r="C77" s="18">
        <f>IF($J77="","",INDEX('2. Fee register'!$B$4:$B$203,$J77)&amp;"")</f>
      </c>
      <c r="D77" s="18">
        <f>IF($J77="","",INDEX('2. Fee register'!$D$4:$D$203,$J77)&amp;"")</f>
      </c>
      <c r="E77" s="18">
        <f>IF($J77="","",INDEX('2. Fee register'!$E$4:$E$203,$J77)&amp;"")</f>
      </c>
      <c r="F77" s="19">
        <f>IF($J77="","",INDEX('2. Fee register'!$J$4:$J$203,$J77))</f>
      </c>
      <c r="G77" s="18">
        <f>IF($J77="","",INDEX('2. Fee register'!$K$4:$K$203,$J77)&amp;"")</f>
      </c>
      <c r="H77" s="20">
        <f>IF($J77="","",IF(INDEX('2. Fee register'!$L$4:$L$203,$J77)="","",INDEX('2. Fee register'!$L$4:$L$203,$J77)))</f>
      </c>
      <c r="I77" s="18">
        <f>IF($J77="","",INDEX('2. Fee register'!$M$4:$M$203,$J77)&amp;"")</f>
      </c>
      <c r="J77">
        <f>IFERROR(MATCH(68,'2. Fee register'!$O$4:$O$203,0),"")</f>
      </c>
    </row>
    <row r="78" spans="1:10" x14ac:dyDescent="0.25">
      <c r="A78" s="18">
        <f>IF($J78="","",69)</f>
      </c>
      <c r="B78" s="18">
        <f>IF($J78="","",INDEX('2. Fee register'!$A$4:$A$203,$J78)&amp;"")</f>
      </c>
      <c r="C78" s="18">
        <f>IF($J78="","",INDEX('2. Fee register'!$B$4:$B$203,$J78)&amp;"")</f>
      </c>
      <c r="D78" s="18">
        <f>IF($J78="","",INDEX('2. Fee register'!$D$4:$D$203,$J78)&amp;"")</f>
      </c>
      <c r="E78" s="18">
        <f>IF($J78="","",INDEX('2. Fee register'!$E$4:$E$203,$J78)&amp;"")</f>
      </c>
      <c r="F78" s="19">
        <f>IF($J78="","",INDEX('2. Fee register'!$J$4:$J$203,$J78))</f>
      </c>
      <c r="G78" s="18">
        <f>IF($J78="","",INDEX('2. Fee register'!$K$4:$K$203,$J78)&amp;"")</f>
      </c>
      <c r="H78" s="20">
        <f>IF($J78="","",IF(INDEX('2. Fee register'!$L$4:$L$203,$J78)="","",INDEX('2. Fee register'!$L$4:$L$203,$J78)))</f>
      </c>
      <c r="I78" s="18">
        <f>IF($J78="","",INDEX('2. Fee register'!$M$4:$M$203,$J78)&amp;"")</f>
      </c>
      <c r="J78">
        <f>IFERROR(MATCH(69,'2. Fee register'!$O$4:$O$203,0),"")</f>
      </c>
    </row>
    <row r="79" spans="1:10" x14ac:dyDescent="0.25">
      <c r="A79" s="18">
        <f>IF($J79="","",70)</f>
      </c>
      <c r="B79" s="18">
        <f>IF($J79="","",INDEX('2. Fee register'!$A$4:$A$203,$J79)&amp;"")</f>
      </c>
      <c r="C79" s="18">
        <f>IF($J79="","",INDEX('2. Fee register'!$B$4:$B$203,$J79)&amp;"")</f>
      </c>
      <c r="D79" s="18">
        <f>IF($J79="","",INDEX('2. Fee register'!$D$4:$D$203,$J79)&amp;"")</f>
      </c>
      <c r="E79" s="18">
        <f>IF($J79="","",INDEX('2. Fee register'!$E$4:$E$203,$J79)&amp;"")</f>
      </c>
      <c r="F79" s="19">
        <f>IF($J79="","",INDEX('2. Fee register'!$J$4:$J$203,$J79))</f>
      </c>
      <c r="G79" s="18">
        <f>IF($J79="","",INDEX('2. Fee register'!$K$4:$K$203,$J79)&amp;"")</f>
      </c>
      <c r="H79" s="20">
        <f>IF($J79="","",IF(INDEX('2. Fee register'!$L$4:$L$203,$J79)="","",INDEX('2. Fee register'!$L$4:$L$203,$J79)))</f>
      </c>
      <c r="I79" s="18">
        <f>IF($J79="","",INDEX('2. Fee register'!$M$4:$M$203,$J79)&amp;"")</f>
      </c>
      <c r="J79">
        <f>IFERROR(MATCH(70,'2. Fee register'!$O$4:$O$203,0),"")</f>
      </c>
    </row>
    <row r="80" spans="1:10" x14ac:dyDescent="0.25">
      <c r="A80" s="18">
        <f>IF($J80="","",71)</f>
      </c>
      <c r="B80" s="18">
        <f>IF($J80="","",INDEX('2. Fee register'!$A$4:$A$203,$J80)&amp;"")</f>
      </c>
      <c r="C80" s="18">
        <f>IF($J80="","",INDEX('2. Fee register'!$B$4:$B$203,$J80)&amp;"")</f>
      </c>
      <c r="D80" s="18">
        <f>IF($J80="","",INDEX('2. Fee register'!$D$4:$D$203,$J80)&amp;"")</f>
      </c>
      <c r="E80" s="18">
        <f>IF($J80="","",INDEX('2. Fee register'!$E$4:$E$203,$J80)&amp;"")</f>
      </c>
      <c r="F80" s="19">
        <f>IF($J80="","",INDEX('2. Fee register'!$J$4:$J$203,$J80))</f>
      </c>
      <c r="G80" s="18">
        <f>IF($J80="","",INDEX('2. Fee register'!$K$4:$K$203,$J80)&amp;"")</f>
      </c>
      <c r="H80" s="20">
        <f>IF($J80="","",IF(INDEX('2. Fee register'!$L$4:$L$203,$J80)="","",INDEX('2. Fee register'!$L$4:$L$203,$J80)))</f>
      </c>
      <c r="I80" s="18">
        <f>IF($J80="","",INDEX('2. Fee register'!$M$4:$M$203,$J80)&amp;"")</f>
      </c>
      <c r="J80">
        <f>IFERROR(MATCH(71,'2. Fee register'!$O$4:$O$203,0),"")</f>
      </c>
    </row>
    <row r="81" spans="1:10" x14ac:dyDescent="0.25">
      <c r="A81" s="18">
        <f>IF($J81="","",72)</f>
      </c>
      <c r="B81" s="18">
        <f>IF($J81="","",INDEX('2. Fee register'!$A$4:$A$203,$J81)&amp;"")</f>
      </c>
      <c r="C81" s="18">
        <f>IF($J81="","",INDEX('2. Fee register'!$B$4:$B$203,$J81)&amp;"")</f>
      </c>
      <c r="D81" s="18">
        <f>IF($J81="","",INDEX('2. Fee register'!$D$4:$D$203,$J81)&amp;"")</f>
      </c>
      <c r="E81" s="18">
        <f>IF($J81="","",INDEX('2. Fee register'!$E$4:$E$203,$J81)&amp;"")</f>
      </c>
      <c r="F81" s="19">
        <f>IF($J81="","",INDEX('2. Fee register'!$J$4:$J$203,$J81))</f>
      </c>
      <c r="G81" s="18">
        <f>IF($J81="","",INDEX('2. Fee register'!$K$4:$K$203,$J81)&amp;"")</f>
      </c>
      <c r="H81" s="20">
        <f>IF($J81="","",IF(INDEX('2. Fee register'!$L$4:$L$203,$J81)="","",INDEX('2. Fee register'!$L$4:$L$203,$J81)))</f>
      </c>
      <c r="I81" s="18">
        <f>IF($J81="","",INDEX('2. Fee register'!$M$4:$M$203,$J81)&amp;"")</f>
      </c>
      <c r="J81">
        <f>IFERROR(MATCH(72,'2. Fee register'!$O$4:$O$203,0),"")</f>
      </c>
    </row>
    <row r="82" spans="1:10" x14ac:dyDescent="0.25">
      <c r="A82" s="18">
        <f>IF($J82="","",73)</f>
      </c>
      <c r="B82" s="18">
        <f>IF($J82="","",INDEX('2. Fee register'!$A$4:$A$203,$J82)&amp;"")</f>
      </c>
      <c r="C82" s="18">
        <f>IF($J82="","",INDEX('2. Fee register'!$B$4:$B$203,$J82)&amp;"")</f>
      </c>
      <c r="D82" s="18">
        <f>IF($J82="","",INDEX('2. Fee register'!$D$4:$D$203,$J82)&amp;"")</f>
      </c>
      <c r="E82" s="18">
        <f>IF($J82="","",INDEX('2. Fee register'!$E$4:$E$203,$J82)&amp;"")</f>
      </c>
      <c r="F82" s="19">
        <f>IF($J82="","",INDEX('2. Fee register'!$J$4:$J$203,$J82))</f>
      </c>
      <c r="G82" s="18">
        <f>IF($J82="","",INDEX('2. Fee register'!$K$4:$K$203,$J82)&amp;"")</f>
      </c>
      <c r="H82" s="20">
        <f>IF($J82="","",IF(INDEX('2. Fee register'!$L$4:$L$203,$J82)="","",INDEX('2. Fee register'!$L$4:$L$203,$J82)))</f>
      </c>
      <c r="I82" s="18">
        <f>IF($J82="","",INDEX('2. Fee register'!$M$4:$M$203,$J82)&amp;"")</f>
      </c>
      <c r="J82">
        <f>IFERROR(MATCH(73,'2. Fee register'!$O$4:$O$203,0),"")</f>
      </c>
    </row>
    <row r="83" spans="1:10" x14ac:dyDescent="0.25">
      <c r="A83" s="18">
        <f>IF($J83="","",74)</f>
      </c>
      <c r="B83" s="18">
        <f>IF($J83="","",INDEX('2. Fee register'!$A$4:$A$203,$J83)&amp;"")</f>
      </c>
      <c r="C83" s="18">
        <f>IF($J83="","",INDEX('2. Fee register'!$B$4:$B$203,$J83)&amp;"")</f>
      </c>
      <c r="D83" s="18">
        <f>IF($J83="","",INDEX('2. Fee register'!$D$4:$D$203,$J83)&amp;"")</f>
      </c>
      <c r="E83" s="18">
        <f>IF($J83="","",INDEX('2. Fee register'!$E$4:$E$203,$J83)&amp;"")</f>
      </c>
      <c r="F83" s="19">
        <f>IF($J83="","",INDEX('2. Fee register'!$J$4:$J$203,$J83))</f>
      </c>
      <c r="G83" s="18">
        <f>IF($J83="","",INDEX('2. Fee register'!$K$4:$K$203,$J83)&amp;"")</f>
      </c>
      <c r="H83" s="20">
        <f>IF($J83="","",IF(INDEX('2. Fee register'!$L$4:$L$203,$J83)="","",INDEX('2. Fee register'!$L$4:$L$203,$J83)))</f>
      </c>
      <c r="I83" s="18">
        <f>IF($J83="","",INDEX('2. Fee register'!$M$4:$M$203,$J83)&amp;"")</f>
      </c>
      <c r="J83">
        <f>IFERROR(MATCH(74,'2. Fee register'!$O$4:$O$203,0),"")</f>
      </c>
    </row>
    <row r="84" spans="1:10" x14ac:dyDescent="0.25">
      <c r="A84" s="18">
        <f>IF($J84="","",75)</f>
      </c>
      <c r="B84" s="18">
        <f>IF($J84="","",INDEX('2. Fee register'!$A$4:$A$203,$J84)&amp;"")</f>
      </c>
      <c r="C84" s="18">
        <f>IF($J84="","",INDEX('2. Fee register'!$B$4:$B$203,$J84)&amp;"")</f>
      </c>
      <c r="D84" s="18">
        <f>IF($J84="","",INDEX('2. Fee register'!$D$4:$D$203,$J84)&amp;"")</f>
      </c>
      <c r="E84" s="18">
        <f>IF($J84="","",INDEX('2. Fee register'!$E$4:$E$203,$J84)&amp;"")</f>
      </c>
      <c r="F84" s="19">
        <f>IF($J84="","",INDEX('2. Fee register'!$J$4:$J$203,$J84))</f>
      </c>
      <c r="G84" s="18">
        <f>IF($J84="","",INDEX('2. Fee register'!$K$4:$K$203,$J84)&amp;"")</f>
      </c>
      <c r="H84" s="20">
        <f>IF($J84="","",IF(INDEX('2. Fee register'!$L$4:$L$203,$J84)="","",INDEX('2. Fee register'!$L$4:$L$203,$J84)))</f>
      </c>
      <c r="I84" s="18">
        <f>IF($J84="","",INDEX('2. Fee register'!$M$4:$M$203,$J84)&amp;"")</f>
      </c>
      <c r="J84">
        <f>IFERROR(MATCH(75,'2. Fee register'!$O$4:$O$203,0),"")</f>
      </c>
    </row>
    <row r="85" spans="1:10" x14ac:dyDescent="0.25">
      <c r="A85" s="18">
        <f>IF($J85="","",76)</f>
      </c>
      <c r="B85" s="18">
        <f>IF($J85="","",INDEX('2. Fee register'!$A$4:$A$203,$J85)&amp;"")</f>
      </c>
      <c r="C85" s="18">
        <f>IF($J85="","",INDEX('2. Fee register'!$B$4:$B$203,$J85)&amp;"")</f>
      </c>
      <c r="D85" s="18">
        <f>IF($J85="","",INDEX('2. Fee register'!$D$4:$D$203,$J85)&amp;"")</f>
      </c>
      <c r="E85" s="18">
        <f>IF($J85="","",INDEX('2. Fee register'!$E$4:$E$203,$J85)&amp;"")</f>
      </c>
      <c r="F85" s="19">
        <f>IF($J85="","",INDEX('2. Fee register'!$J$4:$J$203,$J85))</f>
      </c>
      <c r="G85" s="18">
        <f>IF($J85="","",INDEX('2. Fee register'!$K$4:$K$203,$J85)&amp;"")</f>
      </c>
      <c r="H85" s="20">
        <f>IF($J85="","",IF(INDEX('2. Fee register'!$L$4:$L$203,$J85)="","",INDEX('2. Fee register'!$L$4:$L$203,$J85)))</f>
      </c>
      <c r="I85" s="18">
        <f>IF($J85="","",INDEX('2. Fee register'!$M$4:$M$203,$J85)&amp;"")</f>
      </c>
      <c r="J85">
        <f>IFERROR(MATCH(76,'2. Fee register'!$O$4:$O$203,0),"")</f>
      </c>
    </row>
    <row r="86" spans="1:10" x14ac:dyDescent="0.25">
      <c r="A86" s="18">
        <f>IF($J86="","",77)</f>
      </c>
      <c r="B86" s="18">
        <f>IF($J86="","",INDEX('2. Fee register'!$A$4:$A$203,$J86)&amp;"")</f>
      </c>
      <c r="C86" s="18">
        <f>IF($J86="","",INDEX('2. Fee register'!$B$4:$B$203,$J86)&amp;"")</f>
      </c>
      <c r="D86" s="18">
        <f>IF($J86="","",INDEX('2. Fee register'!$D$4:$D$203,$J86)&amp;"")</f>
      </c>
      <c r="E86" s="18">
        <f>IF($J86="","",INDEX('2. Fee register'!$E$4:$E$203,$J86)&amp;"")</f>
      </c>
      <c r="F86" s="19">
        <f>IF($J86="","",INDEX('2. Fee register'!$J$4:$J$203,$J86))</f>
      </c>
      <c r="G86" s="18">
        <f>IF($J86="","",INDEX('2. Fee register'!$K$4:$K$203,$J86)&amp;"")</f>
      </c>
      <c r="H86" s="20">
        <f>IF($J86="","",IF(INDEX('2. Fee register'!$L$4:$L$203,$J86)="","",INDEX('2. Fee register'!$L$4:$L$203,$J86)))</f>
      </c>
      <c r="I86" s="18">
        <f>IF($J86="","",INDEX('2. Fee register'!$M$4:$M$203,$J86)&amp;"")</f>
      </c>
      <c r="J86">
        <f>IFERROR(MATCH(77,'2. Fee register'!$O$4:$O$203,0),"")</f>
      </c>
    </row>
    <row r="87" spans="1:10" x14ac:dyDescent="0.25">
      <c r="A87" s="18">
        <f>IF($J87="","",78)</f>
      </c>
      <c r="B87" s="18">
        <f>IF($J87="","",INDEX('2. Fee register'!$A$4:$A$203,$J87)&amp;"")</f>
      </c>
      <c r="C87" s="18">
        <f>IF($J87="","",INDEX('2. Fee register'!$B$4:$B$203,$J87)&amp;"")</f>
      </c>
      <c r="D87" s="18">
        <f>IF($J87="","",INDEX('2. Fee register'!$D$4:$D$203,$J87)&amp;"")</f>
      </c>
      <c r="E87" s="18">
        <f>IF($J87="","",INDEX('2. Fee register'!$E$4:$E$203,$J87)&amp;"")</f>
      </c>
      <c r="F87" s="19">
        <f>IF($J87="","",INDEX('2. Fee register'!$J$4:$J$203,$J87))</f>
      </c>
      <c r="G87" s="18">
        <f>IF($J87="","",INDEX('2. Fee register'!$K$4:$K$203,$J87)&amp;"")</f>
      </c>
      <c r="H87" s="20">
        <f>IF($J87="","",IF(INDEX('2. Fee register'!$L$4:$L$203,$J87)="","",INDEX('2. Fee register'!$L$4:$L$203,$J87)))</f>
      </c>
      <c r="I87" s="18">
        <f>IF($J87="","",INDEX('2. Fee register'!$M$4:$M$203,$J87)&amp;"")</f>
      </c>
      <c r="J87">
        <f>IFERROR(MATCH(78,'2. Fee register'!$O$4:$O$203,0),"")</f>
      </c>
    </row>
    <row r="88" spans="1:10" x14ac:dyDescent="0.25">
      <c r="A88" s="18">
        <f>IF($J88="","",79)</f>
      </c>
      <c r="B88" s="18">
        <f>IF($J88="","",INDEX('2. Fee register'!$A$4:$A$203,$J88)&amp;"")</f>
      </c>
      <c r="C88" s="18">
        <f>IF($J88="","",INDEX('2. Fee register'!$B$4:$B$203,$J88)&amp;"")</f>
      </c>
      <c r="D88" s="18">
        <f>IF($J88="","",INDEX('2. Fee register'!$D$4:$D$203,$J88)&amp;"")</f>
      </c>
      <c r="E88" s="18">
        <f>IF($J88="","",INDEX('2. Fee register'!$E$4:$E$203,$J88)&amp;"")</f>
      </c>
      <c r="F88" s="19">
        <f>IF($J88="","",INDEX('2. Fee register'!$J$4:$J$203,$J88))</f>
      </c>
      <c r="G88" s="18">
        <f>IF($J88="","",INDEX('2. Fee register'!$K$4:$K$203,$J88)&amp;"")</f>
      </c>
      <c r="H88" s="20">
        <f>IF($J88="","",IF(INDEX('2. Fee register'!$L$4:$L$203,$J88)="","",INDEX('2. Fee register'!$L$4:$L$203,$J88)))</f>
      </c>
      <c r="I88" s="18">
        <f>IF($J88="","",INDEX('2. Fee register'!$M$4:$M$203,$J88)&amp;"")</f>
      </c>
      <c r="J88">
        <f>IFERROR(MATCH(79,'2. Fee register'!$O$4:$O$203,0),"")</f>
      </c>
    </row>
    <row r="89" spans="1:10" x14ac:dyDescent="0.25">
      <c r="A89" s="18">
        <f>IF($J89="","",80)</f>
      </c>
      <c r="B89" s="18">
        <f>IF($J89="","",INDEX('2. Fee register'!$A$4:$A$203,$J89)&amp;"")</f>
      </c>
      <c r="C89" s="18">
        <f>IF($J89="","",INDEX('2. Fee register'!$B$4:$B$203,$J89)&amp;"")</f>
      </c>
      <c r="D89" s="18">
        <f>IF($J89="","",INDEX('2. Fee register'!$D$4:$D$203,$J89)&amp;"")</f>
      </c>
      <c r="E89" s="18">
        <f>IF($J89="","",INDEX('2. Fee register'!$E$4:$E$203,$J89)&amp;"")</f>
      </c>
      <c r="F89" s="19">
        <f>IF($J89="","",INDEX('2. Fee register'!$J$4:$J$203,$J89))</f>
      </c>
      <c r="G89" s="18">
        <f>IF($J89="","",INDEX('2. Fee register'!$K$4:$K$203,$J89)&amp;"")</f>
      </c>
      <c r="H89" s="20">
        <f>IF($J89="","",IF(INDEX('2. Fee register'!$L$4:$L$203,$J89)="","",INDEX('2. Fee register'!$L$4:$L$203,$J89)))</f>
      </c>
      <c r="I89" s="18">
        <f>IF($J89="","",INDEX('2. Fee register'!$M$4:$M$203,$J89)&amp;"")</f>
      </c>
      <c r="J89">
        <f>IFERROR(MATCH(80,'2. Fee register'!$O$4:$O$203,0),"")</f>
      </c>
    </row>
    <row r="90" spans="1:10" x14ac:dyDescent="0.25">
      <c r="A90" s="18">
        <f>IF($J90="","",81)</f>
      </c>
      <c r="B90" s="18">
        <f>IF($J90="","",INDEX('2. Fee register'!$A$4:$A$203,$J90)&amp;"")</f>
      </c>
      <c r="C90" s="18">
        <f>IF($J90="","",INDEX('2. Fee register'!$B$4:$B$203,$J90)&amp;"")</f>
      </c>
      <c r="D90" s="18">
        <f>IF($J90="","",INDEX('2. Fee register'!$D$4:$D$203,$J90)&amp;"")</f>
      </c>
      <c r="E90" s="18">
        <f>IF($J90="","",INDEX('2. Fee register'!$E$4:$E$203,$J90)&amp;"")</f>
      </c>
      <c r="F90" s="19">
        <f>IF($J90="","",INDEX('2. Fee register'!$J$4:$J$203,$J90))</f>
      </c>
      <c r="G90" s="18">
        <f>IF($J90="","",INDEX('2. Fee register'!$K$4:$K$203,$J90)&amp;"")</f>
      </c>
      <c r="H90" s="20">
        <f>IF($J90="","",IF(INDEX('2. Fee register'!$L$4:$L$203,$J90)="","",INDEX('2. Fee register'!$L$4:$L$203,$J90)))</f>
      </c>
      <c r="I90" s="18">
        <f>IF($J90="","",INDEX('2. Fee register'!$M$4:$M$203,$J90)&amp;"")</f>
      </c>
      <c r="J90">
        <f>IFERROR(MATCH(81,'2. Fee register'!$O$4:$O$203,0),"")</f>
      </c>
    </row>
    <row r="91" spans="1:10" x14ac:dyDescent="0.25">
      <c r="A91" s="18">
        <f>IF($J91="","",82)</f>
      </c>
      <c r="B91" s="18">
        <f>IF($J91="","",INDEX('2. Fee register'!$A$4:$A$203,$J91)&amp;"")</f>
      </c>
      <c r="C91" s="18">
        <f>IF($J91="","",INDEX('2. Fee register'!$B$4:$B$203,$J91)&amp;"")</f>
      </c>
      <c r="D91" s="18">
        <f>IF($J91="","",INDEX('2. Fee register'!$D$4:$D$203,$J91)&amp;"")</f>
      </c>
      <c r="E91" s="18">
        <f>IF($J91="","",INDEX('2. Fee register'!$E$4:$E$203,$J91)&amp;"")</f>
      </c>
      <c r="F91" s="19">
        <f>IF($J91="","",INDEX('2. Fee register'!$J$4:$J$203,$J91))</f>
      </c>
      <c r="G91" s="18">
        <f>IF($J91="","",INDEX('2. Fee register'!$K$4:$K$203,$J91)&amp;"")</f>
      </c>
      <c r="H91" s="20">
        <f>IF($J91="","",IF(INDEX('2. Fee register'!$L$4:$L$203,$J91)="","",INDEX('2. Fee register'!$L$4:$L$203,$J91)))</f>
      </c>
      <c r="I91" s="18">
        <f>IF($J91="","",INDEX('2. Fee register'!$M$4:$M$203,$J91)&amp;"")</f>
      </c>
      <c r="J91">
        <f>IFERROR(MATCH(82,'2. Fee register'!$O$4:$O$203,0),"")</f>
      </c>
    </row>
    <row r="92" spans="1:10" x14ac:dyDescent="0.25">
      <c r="A92" s="18">
        <f>IF($J92="","",83)</f>
      </c>
      <c r="B92" s="18">
        <f>IF($J92="","",INDEX('2. Fee register'!$A$4:$A$203,$J92)&amp;"")</f>
      </c>
      <c r="C92" s="18">
        <f>IF($J92="","",INDEX('2. Fee register'!$B$4:$B$203,$J92)&amp;"")</f>
      </c>
      <c r="D92" s="18">
        <f>IF($J92="","",INDEX('2. Fee register'!$D$4:$D$203,$J92)&amp;"")</f>
      </c>
      <c r="E92" s="18">
        <f>IF($J92="","",INDEX('2. Fee register'!$E$4:$E$203,$J92)&amp;"")</f>
      </c>
      <c r="F92" s="19">
        <f>IF($J92="","",INDEX('2. Fee register'!$J$4:$J$203,$J92))</f>
      </c>
      <c r="G92" s="18">
        <f>IF($J92="","",INDEX('2. Fee register'!$K$4:$K$203,$J92)&amp;"")</f>
      </c>
      <c r="H92" s="20">
        <f>IF($J92="","",IF(INDEX('2. Fee register'!$L$4:$L$203,$J92)="","",INDEX('2. Fee register'!$L$4:$L$203,$J92)))</f>
      </c>
      <c r="I92" s="18">
        <f>IF($J92="","",INDEX('2. Fee register'!$M$4:$M$203,$J92)&amp;"")</f>
      </c>
      <c r="J92">
        <f>IFERROR(MATCH(83,'2. Fee register'!$O$4:$O$203,0),"")</f>
      </c>
    </row>
    <row r="93" spans="1:10" x14ac:dyDescent="0.25">
      <c r="A93" s="18">
        <f>IF($J93="","",84)</f>
      </c>
      <c r="B93" s="18">
        <f>IF($J93="","",INDEX('2. Fee register'!$A$4:$A$203,$J93)&amp;"")</f>
      </c>
      <c r="C93" s="18">
        <f>IF($J93="","",INDEX('2. Fee register'!$B$4:$B$203,$J93)&amp;"")</f>
      </c>
      <c r="D93" s="18">
        <f>IF($J93="","",INDEX('2. Fee register'!$D$4:$D$203,$J93)&amp;"")</f>
      </c>
      <c r="E93" s="18">
        <f>IF($J93="","",INDEX('2. Fee register'!$E$4:$E$203,$J93)&amp;"")</f>
      </c>
      <c r="F93" s="19">
        <f>IF($J93="","",INDEX('2. Fee register'!$J$4:$J$203,$J93))</f>
      </c>
      <c r="G93" s="18">
        <f>IF($J93="","",INDEX('2. Fee register'!$K$4:$K$203,$J93)&amp;"")</f>
      </c>
      <c r="H93" s="20">
        <f>IF($J93="","",IF(INDEX('2. Fee register'!$L$4:$L$203,$J93)="","",INDEX('2. Fee register'!$L$4:$L$203,$J93)))</f>
      </c>
      <c r="I93" s="18">
        <f>IF($J93="","",INDEX('2. Fee register'!$M$4:$M$203,$J93)&amp;"")</f>
      </c>
      <c r="J93">
        <f>IFERROR(MATCH(84,'2. Fee register'!$O$4:$O$203,0),"")</f>
      </c>
    </row>
    <row r="94" spans="1:10" x14ac:dyDescent="0.25">
      <c r="A94" s="18">
        <f>IF($J94="","",85)</f>
      </c>
      <c r="B94" s="18">
        <f>IF($J94="","",INDEX('2. Fee register'!$A$4:$A$203,$J94)&amp;"")</f>
      </c>
      <c r="C94" s="18">
        <f>IF($J94="","",INDEX('2. Fee register'!$B$4:$B$203,$J94)&amp;"")</f>
      </c>
      <c r="D94" s="18">
        <f>IF($J94="","",INDEX('2. Fee register'!$D$4:$D$203,$J94)&amp;"")</f>
      </c>
      <c r="E94" s="18">
        <f>IF($J94="","",INDEX('2. Fee register'!$E$4:$E$203,$J94)&amp;"")</f>
      </c>
      <c r="F94" s="19">
        <f>IF($J94="","",INDEX('2. Fee register'!$J$4:$J$203,$J94))</f>
      </c>
      <c r="G94" s="18">
        <f>IF($J94="","",INDEX('2. Fee register'!$K$4:$K$203,$J94)&amp;"")</f>
      </c>
      <c r="H94" s="20">
        <f>IF($J94="","",IF(INDEX('2. Fee register'!$L$4:$L$203,$J94)="","",INDEX('2. Fee register'!$L$4:$L$203,$J94)))</f>
      </c>
      <c r="I94" s="18">
        <f>IF($J94="","",INDEX('2. Fee register'!$M$4:$M$203,$J94)&amp;"")</f>
      </c>
      <c r="J94">
        <f>IFERROR(MATCH(85,'2. Fee register'!$O$4:$O$203,0),"")</f>
      </c>
    </row>
    <row r="95" spans="1:10" x14ac:dyDescent="0.25">
      <c r="A95" s="18">
        <f>IF($J95="","",86)</f>
      </c>
      <c r="B95" s="18">
        <f>IF($J95="","",INDEX('2. Fee register'!$A$4:$A$203,$J95)&amp;"")</f>
      </c>
      <c r="C95" s="18">
        <f>IF($J95="","",INDEX('2. Fee register'!$B$4:$B$203,$J95)&amp;"")</f>
      </c>
      <c r="D95" s="18">
        <f>IF($J95="","",INDEX('2. Fee register'!$D$4:$D$203,$J95)&amp;"")</f>
      </c>
      <c r="E95" s="18">
        <f>IF($J95="","",INDEX('2. Fee register'!$E$4:$E$203,$J95)&amp;"")</f>
      </c>
      <c r="F95" s="19">
        <f>IF($J95="","",INDEX('2. Fee register'!$J$4:$J$203,$J95))</f>
      </c>
      <c r="G95" s="18">
        <f>IF($J95="","",INDEX('2. Fee register'!$K$4:$K$203,$J95)&amp;"")</f>
      </c>
      <c r="H95" s="20">
        <f>IF($J95="","",IF(INDEX('2. Fee register'!$L$4:$L$203,$J95)="","",INDEX('2. Fee register'!$L$4:$L$203,$J95)))</f>
      </c>
      <c r="I95" s="18">
        <f>IF($J95="","",INDEX('2. Fee register'!$M$4:$M$203,$J95)&amp;"")</f>
      </c>
      <c r="J95">
        <f>IFERROR(MATCH(86,'2. Fee register'!$O$4:$O$203,0),"")</f>
      </c>
    </row>
    <row r="96" spans="1:10" x14ac:dyDescent="0.25">
      <c r="A96" s="18">
        <f>IF($J96="","",87)</f>
      </c>
      <c r="B96" s="18">
        <f>IF($J96="","",INDEX('2. Fee register'!$A$4:$A$203,$J96)&amp;"")</f>
      </c>
      <c r="C96" s="18">
        <f>IF($J96="","",INDEX('2. Fee register'!$B$4:$B$203,$J96)&amp;"")</f>
      </c>
      <c r="D96" s="18">
        <f>IF($J96="","",INDEX('2. Fee register'!$D$4:$D$203,$J96)&amp;"")</f>
      </c>
      <c r="E96" s="18">
        <f>IF($J96="","",INDEX('2. Fee register'!$E$4:$E$203,$J96)&amp;"")</f>
      </c>
      <c r="F96" s="19">
        <f>IF($J96="","",INDEX('2. Fee register'!$J$4:$J$203,$J96))</f>
      </c>
      <c r="G96" s="18">
        <f>IF($J96="","",INDEX('2. Fee register'!$K$4:$K$203,$J96)&amp;"")</f>
      </c>
      <c r="H96" s="20">
        <f>IF($J96="","",IF(INDEX('2. Fee register'!$L$4:$L$203,$J96)="","",INDEX('2. Fee register'!$L$4:$L$203,$J96)))</f>
      </c>
      <c r="I96" s="18">
        <f>IF($J96="","",INDEX('2. Fee register'!$M$4:$M$203,$J96)&amp;"")</f>
      </c>
      <c r="J96">
        <f>IFERROR(MATCH(87,'2. Fee register'!$O$4:$O$203,0),"")</f>
      </c>
    </row>
    <row r="97" spans="1:10" x14ac:dyDescent="0.25">
      <c r="A97" s="18">
        <f>IF($J97="","",88)</f>
      </c>
      <c r="B97" s="18">
        <f>IF($J97="","",INDEX('2. Fee register'!$A$4:$A$203,$J97)&amp;"")</f>
      </c>
      <c r="C97" s="18">
        <f>IF($J97="","",INDEX('2. Fee register'!$B$4:$B$203,$J97)&amp;"")</f>
      </c>
      <c r="D97" s="18">
        <f>IF($J97="","",INDEX('2. Fee register'!$D$4:$D$203,$J97)&amp;"")</f>
      </c>
      <c r="E97" s="18">
        <f>IF($J97="","",INDEX('2. Fee register'!$E$4:$E$203,$J97)&amp;"")</f>
      </c>
      <c r="F97" s="19">
        <f>IF($J97="","",INDEX('2. Fee register'!$J$4:$J$203,$J97))</f>
      </c>
      <c r="G97" s="18">
        <f>IF($J97="","",INDEX('2. Fee register'!$K$4:$K$203,$J97)&amp;"")</f>
      </c>
      <c r="H97" s="20">
        <f>IF($J97="","",IF(INDEX('2. Fee register'!$L$4:$L$203,$J97)="","",INDEX('2. Fee register'!$L$4:$L$203,$J97)))</f>
      </c>
      <c r="I97" s="18">
        <f>IF($J97="","",INDEX('2. Fee register'!$M$4:$M$203,$J97)&amp;"")</f>
      </c>
      <c r="J97">
        <f>IFERROR(MATCH(88,'2. Fee register'!$O$4:$O$203,0),"")</f>
      </c>
    </row>
    <row r="98" spans="1:10" x14ac:dyDescent="0.25">
      <c r="A98" s="18">
        <f>IF($J98="","",89)</f>
      </c>
      <c r="B98" s="18">
        <f>IF($J98="","",INDEX('2. Fee register'!$A$4:$A$203,$J98)&amp;"")</f>
      </c>
      <c r="C98" s="18">
        <f>IF($J98="","",INDEX('2. Fee register'!$B$4:$B$203,$J98)&amp;"")</f>
      </c>
      <c r="D98" s="18">
        <f>IF($J98="","",INDEX('2. Fee register'!$D$4:$D$203,$J98)&amp;"")</f>
      </c>
      <c r="E98" s="18">
        <f>IF($J98="","",INDEX('2. Fee register'!$E$4:$E$203,$J98)&amp;"")</f>
      </c>
      <c r="F98" s="19">
        <f>IF($J98="","",INDEX('2. Fee register'!$J$4:$J$203,$J98))</f>
      </c>
      <c r="G98" s="18">
        <f>IF($J98="","",INDEX('2. Fee register'!$K$4:$K$203,$J98)&amp;"")</f>
      </c>
      <c r="H98" s="20">
        <f>IF($J98="","",IF(INDEX('2. Fee register'!$L$4:$L$203,$J98)="","",INDEX('2. Fee register'!$L$4:$L$203,$J98)))</f>
      </c>
      <c r="I98" s="18">
        <f>IF($J98="","",INDEX('2. Fee register'!$M$4:$M$203,$J98)&amp;"")</f>
      </c>
      <c r="J98">
        <f>IFERROR(MATCH(89,'2. Fee register'!$O$4:$O$203,0),"")</f>
      </c>
    </row>
    <row r="99" spans="1:10" x14ac:dyDescent="0.25">
      <c r="A99" s="18">
        <f>IF($J99="","",90)</f>
      </c>
      <c r="B99" s="18">
        <f>IF($J99="","",INDEX('2. Fee register'!$A$4:$A$203,$J99)&amp;"")</f>
      </c>
      <c r="C99" s="18">
        <f>IF($J99="","",INDEX('2. Fee register'!$B$4:$B$203,$J99)&amp;"")</f>
      </c>
      <c r="D99" s="18">
        <f>IF($J99="","",INDEX('2. Fee register'!$D$4:$D$203,$J99)&amp;"")</f>
      </c>
      <c r="E99" s="18">
        <f>IF($J99="","",INDEX('2. Fee register'!$E$4:$E$203,$J99)&amp;"")</f>
      </c>
      <c r="F99" s="19">
        <f>IF($J99="","",INDEX('2. Fee register'!$J$4:$J$203,$J99))</f>
      </c>
      <c r="G99" s="18">
        <f>IF($J99="","",INDEX('2. Fee register'!$K$4:$K$203,$J99)&amp;"")</f>
      </c>
      <c r="H99" s="20">
        <f>IF($J99="","",IF(INDEX('2. Fee register'!$L$4:$L$203,$J99)="","",INDEX('2. Fee register'!$L$4:$L$203,$J99)))</f>
      </c>
      <c r="I99" s="18">
        <f>IF($J99="","",INDEX('2. Fee register'!$M$4:$M$203,$J99)&amp;"")</f>
      </c>
      <c r="J99">
        <f>IFERROR(MATCH(90,'2. Fee register'!$O$4:$O$203,0),"")</f>
      </c>
    </row>
    <row r="100" spans="1:10" x14ac:dyDescent="0.25">
      <c r="A100" s="18">
        <f>IF($J100="","",91)</f>
      </c>
      <c r="B100" s="18">
        <f>IF($J100="","",INDEX('2. Fee register'!$A$4:$A$203,$J100)&amp;"")</f>
      </c>
      <c r="C100" s="18">
        <f>IF($J100="","",INDEX('2. Fee register'!$B$4:$B$203,$J100)&amp;"")</f>
      </c>
      <c r="D100" s="18">
        <f>IF($J100="","",INDEX('2. Fee register'!$D$4:$D$203,$J100)&amp;"")</f>
      </c>
      <c r="E100" s="18">
        <f>IF($J100="","",INDEX('2. Fee register'!$E$4:$E$203,$J100)&amp;"")</f>
      </c>
      <c r="F100" s="19">
        <f>IF($J100="","",INDEX('2. Fee register'!$J$4:$J$203,$J100))</f>
      </c>
      <c r="G100" s="18">
        <f>IF($J100="","",INDEX('2. Fee register'!$K$4:$K$203,$J100)&amp;"")</f>
      </c>
      <c r="H100" s="20">
        <f>IF($J100="","",IF(INDEX('2. Fee register'!$L$4:$L$203,$J100)="","",INDEX('2. Fee register'!$L$4:$L$203,$J100)))</f>
      </c>
      <c r="I100" s="18">
        <f>IF($J100="","",INDEX('2. Fee register'!$M$4:$M$203,$J100)&amp;"")</f>
      </c>
      <c r="J100">
        <f>IFERROR(MATCH(91,'2. Fee register'!$O$4:$O$203,0),"")</f>
      </c>
    </row>
    <row r="101" spans="1:10" x14ac:dyDescent="0.25">
      <c r="A101" s="18">
        <f>IF($J101="","",92)</f>
      </c>
      <c r="B101" s="18">
        <f>IF($J101="","",INDEX('2. Fee register'!$A$4:$A$203,$J101)&amp;"")</f>
      </c>
      <c r="C101" s="18">
        <f>IF($J101="","",INDEX('2. Fee register'!$B$4:$B$203,$J101)&amp;"")</f>
      </c>
      <c r="D101" s="18">
        <f>IF($J101="","",INDEX('2. Fee register'!$D$4:$D$203,$J101)&amp;"")</f>
      </c>
      <c r="E101" s="18">
        <f>IF($J101="","",INDEX('2. Fee register'!$E$4:$E$203,$J101)&amp;"")</f>
      </c>
      <c r="F101" s="19">
        <f>IF($J101="","",INDEX('2. Fee register'!$J$4:$J$203,$J101))</f>
      </c>
      <c r="G101" s="18">
        <f>IF($J101="","",INDEX('2. Fee register'!$K$4:$K$203,$J101)&amp;"")</f>
      </c>
      <c r="H101" s="20">
        <f>IF($J101="","",IF(INDEX('2. Fee register'!$L$4:$L$203,$J101)="","",INDEX('2. Fee register'!$L$4:$L$203,$J101)))</f>
      </c>
      <c r="I101" s="18">
        <f>IF($J101="","",INDEX('2. Fee register'!$M$4:$M$203,$J101)&amp;"")</f>
      </c>
      <c r="J101">
        <f>IFERROR(MATCH(92,'2. Fee register'!$O$4:$O$203,0),"")</f>
      </c>
    </row>
    <row r="102" spans="1:10" x14ac:dyDescent="0.25">
      <c r="A102" s="18">
        <f>IF($J102="","",93)</f>
      </c>
      <c r="B102" s="18">
        <f>IF($J102="","",INDEX('2. Fee register'!$A$4:$A$203,$J102)&amp;"")</f>
      </c>
      <c r="C102" s="18">
        <f>IF($J102="","",INDEX('2. Fee register'!$B$4:$B$203,$J102)&amp;"")</f>
      </c>
      <c r="D102" s="18">
        <f>IF($J102="","",INDEX('2. Fee register'!$D$4:$D$203,$J102)&amp;"")</f>
      </c>
      <c r="E102" s="18">
        <f>IF($J102="","",INDEX('2. Fee register'!$E$4:$E$203,$J102)&amp;"")</f>
      </c>
      <c r="F102" s="19">
        <f>IF($J102="","",INDEX('2. Fee register'!$J$4:$J$203,$J102))</f>
      </c>
      <c r="G102" s="18">
        <f>IF($J102="","",INDEX('2. Fee register'!$K$4:$K$203,$J102)&amp;"")</f>
      </c>
      <c r="H102" s="20">
        <f>IF($J102="","",IF(INDEX('2. Fee register'!$L$4:$L$203,$J102)="","",INDEX('2. Fee register'!$L$4:$L$203,$J102)))</f>
      </c>
      <c r="I102" s="18">
        <f>IF($J102="","",INDEX('2. Fee register'!$M$4:$M$203,$J102)&amp;"")</f>
      </c>
      <c r="J102">
        <f>IFERROR(MATCH(93,'2. Fee register'!$O$4:$O$203,0),"")</f>
      </c>
    </row>
    <row r="103" spans="1:10" x14ac:dyDescent="0.25">
      <c r="A103" s="18">
        <f>IF($J103="","",94)</f>
      </c>
      <c r="B103" s="18">
        <f>IF($J103="","",INDEX('2. Fee register'!$A$4:$A$203,$J103)&amp;"")</f>
      </c>
      <c r="C103" s="18">
        <f>IF($J103="","",INDEX('2. Fee register'!$B$4:$B$203,$J103)&amp;"")</f>
      </c>
      <c r="D103" s="18">
        <f>IF($J103="","",INDEX('2. Fee register'!$D$4:$D$203,$J103)&amp;"")</f>
      </c>
      <c r="E103" s="18">
        <f>IF($J103="","",INDEX('2. Fee register'!$E$4:$E$203,$J103)&amp;"")</f>
      </c>
      <c r="F103" s="19">
        <f>IF($J103="","",INDEX('2. Fee register'!$J$4:$J$203,$J103))</f>
      </c>
      <c r="G103" s="18">
        <f>IF($J103="","",INDEX('2. Fee register'!$K$4:$K$203,$J103)&amp;"")</f>
      </c>
      <c r="H103" s="20">
        <f>IF($J103="","",IF(INDEX('2. Fee register'!$L$4:$L$203,$J103)="","",INDEX('2. Fee register'!$L$4:$L$203,$J103)))</f>
      </c>
      <c r="I103" s="18">
        <f>IF($J103="","",INDEX('2. Fee register'!$M$4:$M$203,$J103)&amp;"")</f>
      </c>
      <c r="J103">
        <f>IFERROR(MATCH(94,'2. Fee register'!$O$4:$O$203,0),"")</f>
      </c>
    </row>
    <row r="104" spans="1:10" x14ac:dyDescent="0.25">
      <c r="A104" s="18">
        <f>IF($J104="","",95)</f>
      </c>
      <c r="B104" s="18">
        <f>IF($J104="","",INDEX('2. Fee register'!$A$4:$A$203,$J104)&amp;"")</f>
      </c>
      <c r="C104" s="18">
        <f>IF($J104="","",INDEX('2. Fee register'!$B$4:$B$203,$J104)&amp;"")</f>
      </c>
      <c r="D104" s="18">
        <f>IF($J104="","",INDEX('2. Fee register'!$D$4:$D$203,$J104)&amp;"")</f>
      </c>
      <c r="E104" s="18">
        <f>IF($J104="","",INDEX('2. Fee register'!$E$4:$E$203,$J104)&amp;"")</f>
      </c>
      <c r="F104" s="19">
        <f>IF($J104="","",INDEX('2. Fee register'!$J$4:$J$203,$J104))</f>
      </c>
      <c r="G104" s="18">
        <f>IF($J104="","",INDEX('2. Fee register'!$K$4:$K$203,$J104)&amp;"")</f>
      </c>
      <c r="H104" s="20">
        <f>IF($J104="","",IF(INDEX('2. Fee register'!$L$4:$L$203,$J104)="","",INDEX('2. Fee register'!$L$4:$L$203,$J104)))</f>
      </c>
      <c r="I104" s="18">
        <f>IF($J104="","",INDEX('2. Fee register'!$M$4:$M$203,$J104)&amp;"")</f>
      </c>
      <c r="J104">
        <f>IFERROR(MATCH(95,'2. Fee register'!$O$4:$O$203,0),"")</f>
      </c>
    </row>
    <row r="105" spans="1:10" x14ac:dyDescent="0.25">
      <c r="A105" s="18">
        <f>IF($J105="","",96)</f>
      </c>
      <c r="B105" s="18">
        <f>IF($J105="","",INDEX('2. Fee register'!$A$4:$A$203,$J105)&amp;"")</f>
      </c>
      <c r="C105" s="18">
        <f>IF($J105="","",INDEX('2. Fee register'!$B$4:$B$203,$J105)&amp;"")</f>
      </c>
      <c r="D105" s="18">
        <f>IF($J105="","",INDEX('2. Fee register'!$D$4:$D$203,$J105)&amp;"")</f>
      </c>
      <c r="E105" s="18">
        <f>IF($J105="","",INDEX('2. Fee register'!$E$4:$E$203,$J105)&amp;"")</f>
      </c>
      <c r="F105" s="19">
        <f>IF($J105="","",INDEX('2. Fee register'!$J$4:$J$203,$J105))</f>
      </c>
      <c r="G105" s="18">
        <f>IF($J105="","",INDEX('2. Fee register'!$K$4:$K$203,$J105)&amp;"")</f>
      </c>
      <c r="H105" s="20">
        <f>IF($J105="","",IF(INDEX('2. Fee register'!$L$4:$L$203,$J105)="","",INDEX('2. Fee register'!$L$4:$L$203,$J105)))</f>
      </c>
      <c r="I105" s="18">
        <f>IF($J105="","",INDEX('2. Fee register'!$M$4:$M$203,$J105)&amp;"")</f>
      </c>
      <c r="J105">
        <f>IFERROR(MATCH(96,'2. Fee register'!$O$4:$O$203,0),"")</f>
      </c>
    </row>
    <row r="106" spans="1:10" x14ac:dyDescent="0.25">
      <c r="A106" s="18">
        <f>IF($J106="","",97)</f>
      </c>
      <c r="B106" s="18">
        <f>IF($J106="","",INDEX('2. Fee register'!$A$4:$A$203,$J106)&amp;"")</f>
      </c>
      <c r="C106" s="18">
        <f>IF($J106="","",INDEX('2. Fee register'!$B$4:$B$203,$J106)&amp;"")</f>
      </c>
      <c r="D106" s="18">
        <f>IF($J106="","",INDEX('2. Fee register'!$D$4:$D$203,$J106)&amp;"")</f>
      </c>
      <c r="E106" s="18">
        <f>IF($J106="","",INDEX('2. Fee register'!$E$4:$E$203,$J106)&amp;"")</f>
      </c>
      <c r="F106" s="19">
        <f>IF($J106="","",INDEX('2. Fee register'!$J$4:$J$203,$J106))</f>
      </c>
      <c r="G106" s="18">
        <f>IF($J106="","",INDEX('2. Fee register'!$K$4:$K$203,$J106)&amp;"")</f>
      </c>
      <c r="H106" s="20">
        <f>IF($J106="","",IF(INDEX('2. Fee register'!$L$4:$L$203,$J106)="","",INDEX('2. Fee register'!$L$4:$L$203,$J106)))</f>
      </c>
      <c r="I106" s="18">
        <f>IF($J106="","",INDEX('2. Fee register'!$M$4:$M$203,$J106)&amp;"")</f>
      </c>
      <c r="J106">
        <f>IFERROR(MATCH(97,'2. Fee register'!$O$4:$O$203,0),"")</f>
      </c>
    </row>
    <row r="107" spans="1:10" x14ac:dyDescent="0.25">
      <c r="A107" s="18">
        <f>IF($J107="","",98)</f>
      </c>
      <c r="B107" s="18">
        <f>IF($J107="","",INDEX('2. Fee register'!$A$4:$A$203,$J107)&amp;"")</f>
      </c>
      <c r="C107" s="18">
        <f>IF($J107="","",INDEX('2. Fee register'!$B$4:$B$203,$J107)&amp;"")</f>
      </c>
      <c r="D107" s="18">
        <f>IF($J107="","",INDEX('2. Fee register'!$D$4:$D$203,$J107)&amp;"")</f>
      </c>
      <c r="E107" s="18">
        <f>IF($J107="","",INDEX('2. Fee register'!$E$4:$E$203,$J107)&amp;"")</f>
      </c>
      <c r="F107" s="19">
        <f>IF($J107="","",INDEX('2. Fee register'!$J$4:$J$203,$J107))</f>
      </c>
      <c r="G107" s="18">
        <f>IF($J107="","",INDEX('2. Fee register'!$K$4:$K$203,$J107)&amp;"")</f>
      </c>
      <c r="H107" s="20">
        <f>IF($J107="","",IF(INDEX('2. Fee register'!$L$4:$L$203,$J107)="","",INDEX('2. Fee register'!$L$4:$L$203,$J107)))</f>
      </c>
      <c r="I107" s="18">
        <f>IF($J107="","",INDEX('2. Fee register'!$M$4:$M$203,$J107)&amp;"")</f>
      </c>
      <c r="J107">
        <f>IFERROR(MATCH(98,'2. Fee register'!$O$4:$O$203,0),"")</f>
      </c>
    </row>
    <row r="108" spans="1:10" x14ac:dyDescent="0.25">
      <c r="A108" s="18">
        <f>IF($J108="","",99)</f>
      </c>
      <c r="B108" s="18">
        <f>IF($J108="","",INDEX('2. Fee register'!$A$4:$A$203,$J108)&amp;"")</f>
      </c>
      <c r="C108" s="18">
        <f>IF($J108="","",INDEX('2. Fee register'!$B$4:$B$203,$J108)&amp;"")</f>
      </c>
      <c r="D108" s="18">
        <f>IF($J108="","",INDEX('2. Fee register'!$D$4:$D$203,$J108)&amp;"")</f>
      </c>
      <c r="E108" s="18">
        <f>IF($J108="","",INDEX('2. Fee register'!$E$4:$E$203,$J108)&amp;"")</f>
      </c>
      <c r="F108" s="19">
        <f>IF($J108="","",INDEX('2. Fee register'!$J$4:$J$203,$J108))</f>
      </c>
      <c r="G108" s="18">
        <f>IF($J108="","",INDEX('2. Fee register'!$K$4:$K$203,$J108)&amp;"")</f>
      </c>
      <c r="H108" s="20">
        <f>IF($J108="","",IF(INDEX('2. Fee register'!$L$4:$L$203,$J108)="","",INDEX('2. Fee register'!$L$4:$L$203,$J108)))</f>
      </c>
      <c r="I108" s="18">
        <f>IF($J108="","",INDEX('2. Fee register'!$M$4:$M$203,$J108)&amp;"")</f>
      </c>
      <c r="J108">
        <f>IFERROR(MATCH(99,'2. Fee register'!$O$4:$O$203,0),"")</f>
      </c>
    </row>
    <row r="109" spans="1:10" x14ac:dyDescent="0.25">
      <c r="A109" s="18">
        <f>IF($J109="","",100)</f>
      </c>
      <c r="B109" s="18">
        <f>IF($J109="","",INDEX('2. Fee register'!$A$4:$A$203,$J109)&amp;"")</f>
      </c>
      <c r="C109" s="18">
        <f>IF($J109="","",INDEX('2. Fee register'!$B$4:$B$203,$J109)&amp;"")</f>
      </c>
      <c r="D109" s="18">
        <f>IF($J109="","",INDEX('2. Fee register'!$D$4:$D$203,$J109)&amp;"")</f>
      </c>
      <c r="E109" s="18">
        <f>IF($J109="","",INDEX('2. Fee register'!$E$4:$E$203,$J109)&amp;"")</f>
      </c>
      <c r="F109" s="19">
        <f>IF($J109="","",INDEX('2. Fee register'!$J$4:$J$203,$J109))</f>
      </c>
      <c r="G109" s="18">
        <f>IF($J109="","",INDEX('2. Fee register'!$K$4:$K$203,$J109)&amp;"")</f>
      </c>
      <c r="H109" s="20">
        <f>IF($J109="","",IF(INDEX('2. Fee register'!$L$4:$L$203,$J109)="","",INDEX('2. Fee register'!$L$4:$L$203,$J109)))</f>
      </c>
      <c r="I109" s="18">
        <f>IF($J109="","",INDEX('2. Fee register'!$M$4:$M$203,$J109)&amp;"")</f>
      </c>
      <c r="J109">
        <f>IFERROR(MATCH(100,'2. Fee register'!$O$4:$O$203,0),"")</f>
      </c>
    </row>
    <row r="110" spans="1:10" x14ac:dyDescent="0.25">
      <c r="A110" s="18">
        <f>IF($J110="","",101)</f>
      </c>
      <c r="B110" s="18">
        <f>IF($J110="","",INDEX('2. Fee register'!$A$4:$A$203,$J110)&amp;"")</f>
      </c>
      <c r="C110" s="18">
        <f>IF($J110="","",INDEX('2. Fee register'!$B$4:$B$203,$J110)&amp;"")</f>
      </c>
      <c r="D110" s="18">
        <f>IF($J110="","",INDEX('2. Fee register'!$D$4:$D$203,$J110)&amp;"")</f>
      </c>
      <c r="E110" s="18">
        <f>IF($J110="","",INDEX('2. Fee register'!$E$4:$E$203,$J110)&amp;"")</f>
      </c>
      <c r="F110" s="19">
        <f>IF($J110="","",INDEX('2. Fee register'!$J$4:$J$203,$J110))</f>
      </c>
      <c r="G110" s="18">
        <f>IF($J110="","",INDEX('2. Fee register'!$K$4:$K$203,$J110)&amp;"")</f>
      </c>
      <c r="H110" s="20">
        <f>IF($J110="","",IF(INDEX('2. Fee register'!$L$4:$L$203,$J110)="","",INDEX('2. Fee register'!$L$4:$L$203,$J110)))</f>
      </c>
      <c r="I110" s="18">
        <f>IF($J110="","",INDEX('2. Fee register'!$M$4:$M$203,$J110)&amp;"")</f>
      </c>
      <c r="J110">
        <f>IFERROR(MATCH(101,'2. Fee register'!$O$4:$O$203,0),"")</f>
      </c>
    </row>
    <row r="111" spans="1:10" x14ac:dyDescent="0.25">
      <c r="A111" s="18">
        <f>IF($J111="","",102)</f>
      </c>
      <c r="B111" s="18">
        <f>IF($J111="","",INDEX('2. Fee register'!$A$4:$A$203,$J111)&amp;"")</f>
      </c>
      <c r="C111" s="18">
        <f>IF($J111="","",INDEX('2. Fee register'!$B$4:$B$203,$J111)&amp;"")</f>
      </c>
      <c r="D111" s="18">
        <f>IF($J111="","",INDEX('2. Fee register'!$D$4:$D$203,$J111)&amp;"")</f>
      </c>
      <c r="E111" s="18">
        <f>IF($J111="","",INDEX('2. Fee register'!$E$4:$E$203,$J111)&amp;"")</f>
      </c>
      <c r="F111" s="19">
        <f>IF($J111="","",INDEX('2. Fee register'!$J$4:$J$203,$J111))</f>
      </c>
      <c r="G111" s="18">
        <f>IF($J111="","",INDEX('2. Fee register'!$K$4:$K$203,$J111)&amp;"")</f>
      </c>
      <c r="H111" s="20">
        <f>IF($J111="","",IF(INDEX('2. Fee register'!$L$4:$L$203,$J111)="","",INDEX('2. Fee register'!$L$4:$L$203,$J111)))</f>
      </c>
      <c r="I111" s="18">
        <f>IF($J111="","",INDEX('2. Fee register'!$M$4:$M$203,$J111)&amp;"")</f>
      </c>
      <c r="J111">
        <f>IFERROR(MATCH(102,'2. Fee register'!$O$4:$O$203,0),"")</f>
      </c>
    </row>
    <row r="112" spans="1:10" x14ac:dyDescent="0.25">
      <c r="A112" s="18">
        <f>IF($J112="","",103)</f>
      </c>
      <c r="B112" s="18">
        <f>IF($J112="","",INDEX('2. Fee register'!$A$4:$A$203,$J112)&amp;"")</f>
      </c>
      <c r="C112" s="18">
        <f>IF($J112="","",INDEX('2. Fee register'!$B$4:$B$203,$J112)&amp;"")</f>
      </c>
      <c r="D112" s="18">
        <f>IF($J112="","",INDEX('2. Fee register'!$D$4:$D$203,$J112)&amp;"")</f>
      </c>
      <c r="E112" s="18">
        <f>IF($J112="","",INDEX('2. Fee register'!$E$4:$E$203,$J112)&amp;"")</f>
      </c>
      <c r="F112" s="19">
        <f>IF($J112="","",INDEX('2. Fee register'!$J$4:$J$203,$J112))</f>
      </c>
      <c r="G112" s="18">
        <f>IF($J112="","",INDEX('2. Fee register'!$K$4:$K$203,$J112)&amp;"")</f>
      </c>
      <c r="H112" s="20">
        <f>IF($J112="","",IF(INDEX('2. Fee register'!$L$4:$L$203,$J112)="","",INDEX('2. Fee register'!$L$4:$L$203,$J112)))</f>
      </c>
      <c r="I112" s="18">
        <f>IF($J112="","",INDEX('2. Fee register'!$M$4:$M$203,$J112)&amp;"")</f>
      </c>
      <c r="J112">
        <f>IFERROR(MATCH(103,'2. Fee register'!$O$4:$O$203,0),"")</f>
      </c>
    </row>
    <row r="113" spans="1:10" x14ac:dyDescent="0.25">
      <c r="A113" s="18">
        <f>IF($J113="","",104)</f>
      </c>
      <c r="B113" s="18">
        <f>IF($J113="","",INDEX('2. Fee register'!$A$4:$A$203,$J113)&amp;"")</f>
      </c>
      <c r="C113" s="18">
        <f>IF($J113="","",INDEX('2. Fee register'!$B$4:$B$203,$J113)&amp;"")</f>
      </c>
      <c r="D113" s="18">
        <f>IF($J113="","",INDEX('2. Fee register'!$D$4:$D$203,$J113)&amp;"")</f>
      </c>
      <c r="E113" s="18">
        <f>IF($J113="","",INDEX('2. Fee register'!$E$4:$E$203,$J113)&amp;"")</f>
      </c>
      <c r="F113" s="19">
        <f>IF($J113="","",INDEX('2. Fee register'!$J$4:$J$203,$J113))</f>
      </c>
      <c r="G113" s="18">
        <f>IF($J113="","",INDEX('2. Fee register'!$K$4:$K$203,$J113)&amp;"")</f>
      </c>
      <c r="H113" s="20">
        <f>IF($J113="","",IF(INDEX('2. Fee register'!$L$4:$L$203,$J113)="","",INDEX('2. Fee register'!$L$4:$L$203,$J113)))</f>
      </c>
      <c r="I113" s="18">
        <f>IF($J113="","",INDEX('2. Fee register'!$M$4:$M$203,$J113)&amp;"")</f>
      </c>
      <c r="J113">
        <f>IFERROR(MATCH(104,'2. Fee register'!$O$4:$O$203,0),"")</f>
      </c>
    </row>
    <row r="114" spans="1:10" x14ac:dyDescent="0.25">
      <c r="A114" s="18">
        <f>IF($J114="","",105)</f>
      </c>
      <c r="B114" s="18">
        <f>IF($J114="","",INDEX('2. Fee register'!$A$4:$A$203,$J114)&amp;"")</f>
      </c>
      <c r="C114" s="18">
        <f>IF($J114="","",INDEX('2. Fee register'!$B$4:$B$203,$J114)&amp;"")</f>
      </c>
      <c r="D114" s="18">
        <f>IF($J114="","",INDEX('2. Fee register'!$D$4:$D$203,$J114)&amp;"")</f>
      </c>
      <c r="E114" s="18">
        <f>IF($J114="","",INDEX('2. Fee register'!$E$4:$E$203,$J114)&amp;"")</f>
      </c>
      <c r="F114" s="19">
        <f>IF($J114="","",INDEX('2. Fee register'!$J$4:$J$203,$J114))</f>
      </c>
      <c r="G114" s="18">
        <f>IF($J114="","",INDEX('2. Fee register'!$K$4:$K$203,$J114)&amp;"")</f>
      </c>
      <c r="H114" s="20">
        <f>IF($J114="","",IF(INDEX('2. Fee register'!$L$4:$L$203,$J114)="","",INDEX('2. Fee register'!$L$4:$L$203,$J114)))</f>
      </c>
      <c r="I114" s="18">
        <f>IF($J114="","",INDEX('2. Fee register'!$M$4:$M$203,$J114)&amp;"")</f>
      </c>
      <c r="J114">
        <f>IFERROR(MATCH(105,'2. Fee register'!$O$4:$O$203,0),"")</f>
      </c>
    </row>
    <row r="115" spans="1:10" x14ac:dyDescent="0.25">
      <c r="A115" s="18">
        <f>IF($J115="","",106)</f>
      </c>
      <c r="B115" s="18">
        <f>IF($J115="","",INDEX('2. Fee register'!$A$4:$A$203,$J115)&amp;"")</f>
      </c>
      <c r="C115" s="18">
        <f>IF($J115="","",INDEX('2. Fee register'!$B$4:$B$203,$J115)&amp;"")</f>
      </c>
      <c r="D115" s="18">
        <f>IF($J115="","",INDEX('2. Fee register'!$D$4:$D$203,$J115)&amp;"")</f>
      </c>
      <c r="E115" s="18">
        <f>IF($J115="","",INDEX('2. Fee register'!$E$4:$E$203,$J115)&amp;"")</f>
      </c>
      <c r="F115" s="19">
        <f>IF($J115="","",INDEX('2. Fee register'!$J$4:$J$203,$J115))</f>
      </c>
      <c r="G115" s="18">
        <f>IF($J115="","",INDEX('2. Fee register'!$K$4:$K$203,$J115)&amp;"")</f>
      </c>
      <c r="H115" s="20">
        <f>IF($J115="","",IF(INDEX('2. Fee register'!$L$4:$L$203,$J115)="","",INDEX('2. Fee register'!$L$4:$L$203,$J115)))</f>
      </c>
      <c r="I115" s="18">
        <f>IF($J115="","",INDEX('2. Fee register'!$M$4:$M$203,$J115)&amp;"")</f>
      </c>
      <c r="J115">
        <f>IFERROR(MATCH(106,'2. Fee register'!$O$4:$O$203,0),"")</f>
      </c>
    </row>
    <row r="116" spans="1:10" x14ac:dyDescent="0.25">
      <c r="A116" s="18">
        <f>IF($J116="","",107)</f>
      </c>
      <c r="B116" s="18">
        <f>IF($J116="","",INDEX('2. Fee register'!$A$4:$A$203,$J116)&amp;"")</f>
      </c>
      <c r="C116" s="18">
        <f>IF($J116="","",INDEX('2. Fee register'!$B$4:$B$203,$J116)&amp;"")</f>
      </c>
      <c r="D116" s="18">
        <f>IF($J116="","",INDEX('2. Fee register'!$D$4:$D$203,$J116)&amp;"")</f>
      </c>
      <c r="E116" s="18">
        <f>IF($J116="","",INDEX('2. Fee register'!$E$4:$E$203,$J116)&amp;"")</f>
      </c>
      <c r="F116" s="19">
        <f>IF($J116="","",INDEX('2. Fee register'!$J$4:$J$203,$J116))</f>
      </c>
      <c r="G116" s="18">
        <f>IF($J116="","",INDEX('2. Fee register'!$K$4:$K$203,$J116)&amp;"")</f>
      </c>
      <c r="H116" s="20">
        <f>IF($J116="","",IF(INDEX('2. Fee register'!$L$4:$L$203,$J116)="","",INDEX('2. Fee register'!$L$4:$L$203,$J116)))</f>
      </c>
      <c r="I116" s="18">
        <f>IF($J116="","",INDEX('2. Fee register'!$M$4:$M$203,$J116)&amp;"")</f>
      </c>
      <c r="J116">
        <f>IFERROR(MATCH(107,'2. Fee register'!$O$4:$O$203,0),"")</f>
      </c>
    </row>
    <row r="117" spans="1:10" x14ac:dyDescent="0.25">
      <c r="A117" s="18">
        <f>IF($J117="","",108)</f>
      </c>
      <c r="B117" s="18">
        <f>IF($J117="","",INDEX('2. Fee register'!$A$4:$A$203,$J117)&amp;"")</f>
      </c>
      <c r="C117" s="18">
        <f>IF($J117="","",INDEX('2. Fee register'!$B$4:$B$203,$J117)&amp;"")</f>
      </c>
      <c r="D117" s="18">
        <f>IF($J117="","",INDEX('2. Fee register'!$D$4:$D$203,$J117)&amp;"")</f>
      </c>
      <c r="E117" s="18">
        <f>IF($J117="","",INDEX('2. Fee register'!$E$4:$E$203,$J117)&amp;"")</f>
      </c>
      <c r="F117" s="19">
        <f>IF($J117="","",INDEX('2. Fee register'!$J$4:$J$203,$J117))</f>
      </c>
      <c r="G117" s="18">
        <f>IF($J117="","",INDEX('2. Fee register'!$K$4:$K$203,$J117)&amp;"")</f>
      </c>
      <c r="H117" s="20">
        <f>IF($J117="","",IF(INDEX('2. Fee register'!$L$4:$L$203,$J117)="","",INDEX('2. Fee register'!$L$4:$L$203,$J117)))</f>
      </c>
      <c r="I117" s="18">
        <f>IF($J117="","",INDEX('2. Fee register'!$M$4:$M$203,$J117)&amp;"")</f>
      </c>
      <c r="J117">
        <f>IFERROR(MATCH(108,'2. Fee register'!$O$4:$O$203,0),"")</f>
      </c>
    </row>
    <row r="118" spans="1:10" x14ac:dyDescent="0.25">
      <c r="A118" s="18">
        <f>IF($J118="","",109)</f>
      </c>
      <c r="B118" s="18">
        <f>IF($J118="","",INDEX('2. Fee register'!$A$4:$A$203,$J118)&amp;"")</f>
      </c>
      <c r="C118" s="18">
        <f>IF($J118="","",INDEX('2. Fee register'!$B$4:$B$203,$J118)&amp;"")</f>
      </c>
      <c r="D118" s="18">
        <f>IF($J118="","",INDEX('2. Fee register'!$D$4:$D$203,$J118)&amp;"")</f>
      </c>
      <c r="E118" s="18">
        <f>IF($J118="","",INDEX('2. Fee register'!$E$4:$E$203,$J118)&amp;"")</f>
      </c>
      <c r="F118" s="19">
        <f>IF($J118="","",INDEX('2. Fee register'!$J$4:$J$203,$J118))</f>
      </c>
      <c r="G118" s="18">
        <f>IF($J118="","",INDEX('2. Fee register'!$K$4:$K$203,$J118)&amp;"")</f>
      </c>
      <c r="H118" s="20">
        <f>IF($J118="","",IF(INDEX('2. Fee register'!$L$4:$L$203,$J118)="","",INDEX('2. Fee register'!$L$4:$L$203,$J118)))</f>
      </c>
      <c r="I118" s="18">
        <f>IF($J118="","",INDEX('2. Fee register'!$M$4:$M$203,$J118)&amp;"")</f>
      </c>
      <c r="J118">
        <f>IFERROR(MATCH(109,'2. Fee register'!$O$4:$O$203,0),"")</f>
      </c>
    </row>
    <row r="119" spans="1:10" x14ac:dyDescent="0.25">
      <c r="A119" s="18">
        <f>IF($J119="","",110)</f>
      </c>
      <c r="B119" s="18">
        <f>IF($J119="","",INDEX('2. Fee register'!$A$4:$A$203,$J119)&amp;"")</f>
      </c>
      <c r="C119" s="18">
        <f>IF($J119="","",INDEX('2. Fee register'!$B$4:$B$203,$J119)&amp;"")</f>
      </c>
      <c r="D119" s="18">
        <f>IF($J119="","",INDEX('2. Fee register'!$D$4:$D$203,$J119)&amp;"")</f>
      </c>
      <c r="E119" s="18">
        <f>IF($J119="","",INDEX('2. Fee register'!$E$4:$E$203,$J119)&amp;"")</f>
      </c>
      <c r="F119" s="19">
        <f>IF($J119="","",INDEX('2. Fee register'!$J$4:$J$203,$J119))</f>
      </c>
      <c r="G119" s="18">
        <f>IF($J119="","",INDEX('2. Fee register'!$K$4:$K$203,$J119)&amp;"")</f>
      </c>
      <c r="H119" s="20">
        <f>IF($J119="","",IF(INDEX('2. Fee register'!$L$4:$L$203,$J119)="","",INDEX('2. Fee register'!$L$4:$L$203,$J119)))</f>
      </c>
      <c r="I119" s="18">
        <f>IF($J119="","",INDEX('2. Fee register'!$M$4:$M$203,$J119)&amp;"")</f>
      </c>
      <c r="J119">
        <f>IFERROR(MATCH(110,'2. Fee register'!$O$4:$O$203,0),"")</f>
      </c>
    </row>
    <row r="120" spans="1:10" x14ac:dyDescent="0.25">
      <c r="A120" s="18">
        <f>IF($J120="","",111)</f>
      </c>
      <c r="B120" s="18">
        <f>IF($J120="","",INDEX('2. Fee register'!$A$4:$A$203,$J120)&amp;"")</f>
      </c>
      <c r="C120" s="18">
        <f>IF($J120="","",INDEX('2. Fee register'!$B$4:$B$203,$J120)&amp;"")</f>
      </c>
      <c r="D120" s="18">
        <f>IF($J120="","",INDEX('2. Fee register'!$D$4:$D$203,$J120)&amp;"")</f>
      </c>
      <c r="E120" s="18">
        <f>IF($J120="","",INDEX('2. Fee register'!$E$4:$E$203,$J120)&amp;"")</f>
      </c>
      <c r="F120" s="19">
        <f>IF($J120="","",INDEX('2. Fee register'!$J$4:$J$203,$J120))</f>
      </c>
      <c r="G120" s="18">
        <f>IF($J120="","",INDEX('2. Fee register'!$K$4:$K$203,$J120)&amp;"")</f>
      </c>
      <c r="H120" s="20">
        <f>IF($J120="","",IF(INDEX('2. Fee register'!$L$4:$L$203,$J120)="","",INDEX('2. Fee register'!$L$4:$L$203,$J120)))</f>
      </c>
      <c r="I120" s="18">
        <f>IF($J120="","",INDEX('2. Fee register'!$M$4:$M$203,$J120)&amp;"")</f>
      </c>
      <c r="J120">
        <f>IFERROR(MATCH(111,'2. Fee register'!$O$4:$O$203,0),"")</f>
      </c>
    </row>
    <row r="121" spans="1:10" x14ac:dyDescent="0.25">
      <c r="A121" s="18">
        <f>IF($J121="","",112)</f>
      </c>
      <c r="B121" s="18">
        <f>IF($J121="","",INDEX('2. Fee register'!$A$4:$A$203,$J121)&amp;"")</f>
      </c>
      <c r="C121" s="18">
        <f>IF($J121="","",INDEX('2. Fee register'!$B$4:$B$203,$J121)&amp;"")</f>
      </c>
      <c r="D121" s="18">
        <f>IF($J121="","",INDEX('2. Fee register'!$D$4:$D$203,$J121)&amp;"")</f>
      </c>
      <c r="E121" s="18">
        <f>IF($J121="","",INDEX('2. Fee register'!$E$4:$E$203,$J121)&amp;"")</f>
      </c>
      <c r="F121" s="19">
        <f>IF($J121="","",INDEX('2. Fee register'!$J$4:$J$203,$J121))</f>
      </c>
      <c r="G121" s="18">
        <f>IF($J121="","",INDEX('2. Fee register'!$K$4:$K$203,$J121)&amp;"")</f>
      </c>
      <c r="H121" s="20">
        <f>IF($J121="","",IF(INDEX('2. Fee register'!$L$4:$L$203,$J121)="","",INDEX('2. Fee register'!$L$4:$L$203,$J121)))</f>
      </c>
      <c r="I121" s="18">
        <f>IF($J121="","",INDEX('2. Fee register'!$M$4:$M$203,$J121)&amp;"")</f>
      </c>
      <c r="J121">
        <f>IFERROR(MATCH(112,'2. Fee register'!$O$4:$O$203,0),"")</f>
      </c>
    </row>
    <row r="122" spans="1:10" x14ac:dyDescent="0.25">
      <c r="A122" s="18">
        <f>IF($J122="","",113)</f>
      </c>
      <c r="B122" s="18">
        <f>IF($J122="","",INDEX('2. Fee register'!$A$4:$A$203,$J122)&amp;"")</f>
      </c>
      <c r="C122" s="18">
        <f>IF($J122="","",INDEX('2. Fee register'!$B$4:$B$203,$J122)&amp;"")</f>
      </c>
      <c r="D122" s="18">
        <f>IF($J122="","",INDEX('2. Fee register'!$D$4:$D$203,$J122)&amp;"")</f>
      </c>
      <c r="E122" s="18">
        <f>IF($J122="","",INDEX('2. Fee register'!$E$4:$E$203,$J122)&amp;"")</f>
      </c>
      <c r="F122" s="19">
        <f>IF($J122="","",INDEX('2. Fee register'!$J$4:$J$203,$J122))</f>
      </c>
      <c r="G122" s="18">
        <f>IF($J122="","",INDEX('2. Fee register'!$K$4:$K$203,$J122)&amp;"")</f>
      </c>
      <c r="H122" s="20">
        <f>IF($J122="","",IF(INDEX('2. Fee register'!$L$4:$L$203,$J122)="","",INDEX('2. Fee register'!$L$4:$L$203,$J122)))</f>
      </c>
      <c r="I122" s="18">
        <f>IF($J122="","",INDEX('2. Fee register'!$M$4:$M$203,$J122)&amp;"")</f>
      </c>
      <c r="J122">
        <f>IFERROR(MATCH(113,'2. Fee register'!$O$4:$O$203,0),"")</f>
      </c>
    </row>
    <row r="123" spans="1:10" x14ac:dyDescent="0.25">
      <c r="A123" s="18">
        <f>IF($J123="","",114)</f>
      </c>
      <c r="B123" s="18">
        <f>IF($J123="","",INDEX('2. Fee register'!$A$4:$A$203,$J123)&amp;"")</f>
      </c>
      <c r="C123" s="18">
        <f>IF($J123="","",INDEX('2. Fee register'!$B$4:$B$203,$J123)&amp;"")</f>
      </c>
      <c r="D123" s="18">
        <f>IF($J123="","",INDEX('2. Fee register'!$D$4:$D$203,$J123)&amp;"")</f>
      </c>
      <c r="E123" s="18">
        <f>IF($J123="","",INDEX('2. Fee register'!$E$4:$E$203,$J123)&amp;"")</f>
      </c>
      <c r="F123" s="19">
        <f>IF($J123="","",INDEX('2. Fee register'!$J$4:$J$203,$J123))</f>
      </c>
      <c r="G123" s="18">
        <f>IF($J123="","",INDEX('2. Fee register'!$K$4:$K$203,$J123)&amp;"")</f>
      </c>
      <c r="H123" s="20">
        <f>IF($J123="","",IF(INDEX('2. Fee register'!$L$4:$L$203,$J123)="","",INDEX('2. Fee register'!$L$4:$L$203,$J123)))</f>
      </c>
      <c r="I123" s="18">
        <f>IF($J123="","",INDEX('2. Fee register'!$M$4:$M$203,$J123)&amp;"")</f>
      </c>
      <c r="J123">
        <f>IFERROR(MATCH(114,'2. Fee register'!$O$4:$O$203,0),"")</f>
      </c>
    </row>
    <row r="124" spans="1:10" x14ac:dyDescent="0.25">
      <c r="A124" s="18">
        <f>IF($J124="","",115)</f>
      </c>
      <c r="B124" s="18">
        <f>IF($J124="","",INDEX('2. Fee register'!$A$4:$A$203,$J124)&amp;"")</f>
      </c>
      <c r="C124" s="18">
        <f>IF($J124="","",INDEX('2. Fee register'!$B$4:$B$203,$J124)&amp;"")</f>
      </c>
      <c r="D124" s="18">
        <f>IF($J124="","",INDEX('2. Fee register'!$D$4:$D$203,$J124)&amp;"")</f>
      </c>
      <c r="E124" s="18">
        <f>IF($J124="","",INDEX('2. Fee register'!$E$4:$E$203,$J124)&amp;"")</f>
      </c>
      <c r="F124" s="19">
        <f>IF($J124="","",INDEX('2. Fee register'!$J$4:$J$203,$J124))</f>
      </c>
      <c r="G124" s="18">
        <f>IF($J124="","",INDEX('2. Fee register'!$K$4:$K$203,$J124)&amp;"")</f>
      </c>
      <c r="H124" s="20">
        <f>IF($J124="","",IF(INDEX('2. Fee register'!$L$4:$L$203,$J124)="","",INDEX('2. Fee register'!$L$4:$L$203,$J124)))</f>
      </c>
      <c r="I124" s="18">
        <f>IF($J124="","",INDEX('2. Fee register'!$M$4:$M$203,$J124)&amp;"")</f>
      </c>
      <c r="J124">
        <f>IFERROR(MATCH(115,'2. Fee register'!$O$4:$O$203,0),"")</f>
      </c>
    </row>
    <row r="125" spans="1:10" x14ac:dyDescent="0.25">
      <c r="A125" s="18">
        <f>IF($J125="","",116)</f>
      </c>
      <c r="B125" s="18">
        <f>IF($J125="","",INDEX('2. Fee register'!$A$4:$A$203,$J125)&amp;"")</f>
      </c>
      <c r="C125" s="18">
        <f>IF($J125="","",INDEX('2. Fee register'!$B$4:$B$203,$J125)&amp;"")</f>
      </c>
      <c r="D125" s="18">
        <f>IF($J125="","",INDEX('2. Fee register'!$D$4:$D$203,$J125)&amp;"")</f>
      </c>
      <c r="E125" s="18">
        <f>IF($J125="","",INDEX('2. Fee register'!$E$4:$E$203,$J125)&amp;"")</f>
      </c>
      <c r="F125" s="19">
        <f>IF($J125="","",INDEX('2. Fee register'!$J$4:$J$203,$J125))</f>
      </c>
      <c r="G125" s="18">
        <f>IF($J125="","",INDEX('2. Fee register'!$K$4:$K$203,$J125)&amp;"")</f>
      </c>
      <c r="H125" s="20">
        <f>IF($J125="","",IF(INDEX('2. Fee register'!$L$4:$L$203,$J125)="","",INDEX('2. Fee register'!$L$4:$L$203,$J125)))</f>
      </c>
      <c r="I125" s="18">
        <f>IF($J125="","",INDEX('2. Fee register'!$M$4:$M$203,$J125)&amp;"")</f>
      </c>
      <c r="J125">
        <f>IFERROR(MATCH(116,'2. Fee register'!$O$4:$O$203,0),"")</f>
      </c>
    </row>
    <row r="126" spans="1:10" x14ac:dyDescent="0.25">
      <c r="A126" s="18">
        <f>IF($J126="","",117)</f>
      </c>
      <c r="B126" s="18">
        <f>IF($J126="","",INDEX('2. Fee register'!$A$4:$A$203,$J126)&amp;"")</f>
      </c>
      <c r="C126" s="18">
        <f>IF($J126="","",INDEX('2. Fee register'!$B$4:$B$203,$J126)&amp;"")</f>
      </c>
      <c r="D126" s="18">
        <f>IF($J126="","",INDEX('2. Fee register'!$D$4:$D$203,$J126)&amp;"")</f>
      </c>
      <c r="E126" s="18">
        <f>IF($J126="","",INDEX('2. Fee register'!$E$4:$E$203,$J126)&amp;"")</f>
      </c>
      <c r="F126" s="19">
        <f>IF($J126="","",INDEX('2. Fee register'!$J$4:$J$203,$J126))</f>
      </c>
      <c r="G126" s="18">
        <f>IF($J126="","",INDEX('2. Fee register'!$K$4:$K$203,$J126)&amp;"")</f>
      </c>
      <c r="H126" s="20">
        <f>IF($J126="","",IF(INDEX('2. Fee register'!$L$4:$L$203,$J126)="","",INDEX('2. Fee register'!$L$4:$L$203,$J126)))</f>
      </c>
      <c r="I126" s="18">
        <f>IF($J126="","",INDEX('2. Fee register'!$M$4:$M$203,$J126)&amp;"")</f>
      </c>
      <c r="J126">
        <f>IFERROR(MATCH(117,'2. Fee register'!$O$4:$O$203,0),"")</f>
      </c>
    </row>
    <row r="127" spans="1:10" x14ac:dyDescent="0.25">
      <c r="A127" s="18">
        <f>IF($J127="","",118)</f>
      </c>
      <c r="B127" s="18">
        <f>IF($J127="","",INDEX('2. Fee register'!$A$4:$A$203,$J127)&amp;"")</f>
      </c>
      <c r="C127" s="18">
        <f>IF($J127="","",INDEX('2. Fee register'!$B$4:$B$203,$J127)&amp;"")</f>
      </c>
      <c r="D127" s="18">
        <f>IF($J127="","",INDEX('2. Fee register'!$D$4:$D$203,$J127)&amp;"")</f>
      </c>
      <c r="E127" s="18">
        <f>IF($J127="","",INDEX('2. Fee register'!$E$4:$E$203,$J127)&amp;"")</f>
      </c>
      <c r="F127" s="19">
        <f>IF($J127="","",INDEX('2. Fee register'!$J$4:$J$203,$J127))</f>
      </c>
      <c r="G127" s="18">
        <f>IF($J127="","",INDEX('2. Fee register'!$K$4:$K$203,$J127)&amp;"")</f>
      </c>
      <c r="H127" s="20">
        <f>IF($J127="","",IF(INDEX('2. Fee register'!$L$4:$L$203,$J127)="","",INDEX('2. Fee register'!$L$4:$L$203,$J127)))</f>
      </c>
      <c r="I127" s="18">
        <f>IF($J127="","",INDEX('2. Fee register'!$M$4:$M$203,$J127)&amp;"")</f>
      </c>
      <c r="J127">
        <f>IFERROR(MATCH(118,'2. Fee register'!$O$4:$O$203,0),"")</f>
      </c>
    </row>
    <row r="128" spans="1:10" x14ac:dyDescent="0.25">
      <c r="A128" s="18">
        <f>IF($J128="","",119)</f>
      </c>
      <c r="B128" s="18">
        <f>IF($J128="","",INDEX('2. Fee register'!$A$4:$A$203,$J128)&amp;"")</f>
      </c>
      <c r="C128" s="18">
        <f>IF($J128="","",INDEX('2. Fee register'!$B$4:$B$203,$J128)&amp;"")</f>
      </c>
      <c r="D128" s="18">
        <f>IF($J128="","",INDEX('2. Fee register'!$D$4:$D$203,$J128)&amp;"")</f>
      </c>
      <c r="E128" s="18">
        <f>IF($J128="","",INDEX('2. Fee register'!$E$4:$E$203,$J128)&amp;"")</f>
      </c>
      <c r="F128" s="19">
        <f>IF($J128="","",INDEX('2. Fee register'!$J$4:$J$203,$J128))</f>
      </c>
      <c r="G128" s="18">
        <f>IF($J128="","",INDEX('2. Fee register'!$K$4:$K$203,$J128)&amp;"")</f>
      </c>
      <c r="H128" s="20">
        <f>IF($J128="","",IF(INDEX('2. Fee register'!$L$4:$L$203,$J128)="","",INDEX('2. Fee register'!$L$4:$L$203,$J128)))</f>
      </c>
      <c r="I128" s="18">
        <f>IF($J128="","",INDEX('2. Fee register'!$M$4:$M$203,$J128)&amp;"")</f>
      </c>
      <c r="J128">
        <f>IFERROR(MATCH(119,'2. Fee register'!$O$4:$O$203,0),"")</f>
      </c>
    </row>
    <row r="129" spans="1:10" x14ac:dyDescent="0.25">
      <c r="A129" s="18">
        <f>IF($J129="","",120)</f>
      </c>
      <c r="B129" s="18">
        <f>IF($J129="","",INDEX('2. Fee register'!$A$4:$A$203,$J129)&amp;"")</f>
      </c>
      <c r="C129" s="18">
        <f>IF($J129="","",INDEX('2. Fee register'!$B$4:$B$203,$J129)&amp;"")</f>
      </c>
      <c r="D129" s="18">
        <f>IF($J129="","",INDEX('2. Fee register'!$D$4:$D$203,$J129)&amp;"")</f>
      </c>
      <c r="E129" s="18">
        <f>IF($J129="","",INDEX('2. Fee register'!$E$4:$E$203,$J129)&amp;"")</f>
      </c>
      <c r="F129" s="19">
        <f>IF($J129="","",INDEX('2. Fee register'!$J$4:$J$203,$J129))</f>
      </c>
      <c r="G129" s="18">
        <f>IF($J129="","",INDEX('2. Fee register'!$K$4:$K$203,$J129)&amp;"")</f>
      </c>
      <c r="H129" s="20">
        <f>IF($J129="","",IF(INDEX('2. Fee register'!$L$4:$L$203,$J129)="","",INDEX('2. Fee register'!$L$4:$L$203,$J129)))</f>
      </c>
      <c r="I129" s="18">
        <f>IF($J129="","",INDEX('2. Fee register'!$M$4:$M$203,$J129)&amp;"")</f>
      </c>
      <c r="J129">
        <f>IFERROR(MATCH(120,'2. Fee register'!$O$4:$O$203,0),"")</f>
      </c>
    </row>
    <row r="130" spans="1:10" x14ac:dyDescent="0.25">
      <c r="A130" s="18">
        <f>IF($J130="","",121)</f>
      </c>
      <c r="B130" s="18">
        <f>IF($J130="","",INDEX('2. Fee register'!$A$4:$A$203,$J130)&amp;"")</f>
      </c>
      <c r="C130" s="18">
        <f>IF($J130="","",INDEX('2. Fee register'!$B$4:$B$203,$J130)&amp;"")</f>
      </c>
      <c r="D130" s="18">
        <f>IF($J130="","",INDEX('2. Fee register'!$D$4:$D$203,$J130)&amp;"")</f>
      </c>
      <c r="E130" s="18">
        <f>IF($J130="","",INDEX('2. Fee register'!$E$4:$E$203,$J130)&amp;"")</f>
      </c>
      <c r="F130" s="19">
        <f>IF($J130="","",INDEX('2. Fee register'!$J$4:$J$203,$J130))</f>
      </c>
      <c r="G130" s="18">
        <f>IF($J130="","",INDEX('2. Fee register'!$K$4:$K$203,$J130)&amp;"")</f>
      </c>
      <c r="H130" s="20">
        <f>IF($J130="","",IF(INDEX('2. Fee register'!$L$4:$L$203,$J130)="","",INDEX('2. Fee register'!$L$4:$L$203,$J130)))</f>
      </c>
      <c r="I130" s="18">
        <f>IF($J130="","",INDEX('2. Fee register'!$M$4:$M$203,$J130)&amp;"")</f>
      </c>
      <c r="J130">
        <f>IFERROR(MATCH(121,'2. Fee register'!$O$4:$O$203,0),"")</f>
      </c>
    </row>
    <row r="131" spans="1:10" x14ac:dyDescent="0.25">
      <c r="A131" s="18">
        <f>IF($J131="","",122)</f>
      </c>
      <c r="B131" s="18">
        <f>IF($J131="","",INDEX('2. Fee register'!$A$4:$A$203,$J131)&amp;"")</f>
      </c>
      <c r="C131" s="18">
        <f>IF($J131="","",INDEX('2. Fee register'!$B$4:$B$203,$J131)&amp;"")</f>
      </c>
      <c r="D131" s="18">
        <f>IF($J131="","",INDEX('2. Fee register'!$D$4:$D$203,$J131)&amp;"")</f>
      </c>
      <c r="E131" s="18">
        <f>IF($J131="","",INDEX('2. Fee register'!$E$4:$E$203,$J131)&amp;"")</f>
      </c>
      <c r="F131" s="19">
        <f>IF($J131="","",INDEX('2. Fee register'!$J$4:$J$203,$J131))</f>
      </c>
      <c r="G131" s="18">
        <f>IF($J131="","",INDEX('2. Fee register'!$K$4:$K$203,$J131)&amp;"")</f>
      </c>
      <c r="H131" s="20">
        <f>IF($J131="","",IF(INDEX('2. Fee register'!$L$4:$L$203,$J131)="","",INDEX('2. Fee register'!$L$4:$L$203,$J131)))</f>
      </c>
      <c r="I131" s="18">
        <f>IF($J131="","",INDEX('2. Fee register'!$M$4:$M$203,$J131)&amp;"")</f>
      </c>
      <c r="J131">
        <f>IFERROR(MATCH(122,'2. Fee register'!$O$4:$O$203,0),"")</f>
      </c>
    </row>
    <row r="132" spans="1:10" x14ac:dyDescent="0.25">
      <c r="A132" s="18">
        <f>IF($J132="","",123)</f>
      </c>
      <c r="B132" s="18">
        <f>IF($J132="","",INDEX('2. Fee register'!$A$4:$A$203,$J132)&amp;"")</f>
      </c>
      <c r="C132" s="18">
        <f>IF($J132="","",INDEX('2. Fee register'!$B$4:$B$203,$J132)&amp;"")</f>
      </c>
      <c r="D132" s="18">
        <f>IF($J132="","",INDEX('2. Fee register'!$D$4:$D$203,$J132)&amp;"")</f>
      </c>
      <c r="E132" s="18">
        <f>IF($J132="","",INDEX('2. Fee register'!$E$4:$E$203,$J132)&amp;"")</f>
      </c>
      <c r="F132" s="19">
        <f>IF($J132="","",INDEX('2. Fee register'!$J$4:$J$203,$J132))</f>
      </c>
      <c r="G132" s="18">
        <f>IF($J132="","",INDEX('2. Fee register'!$K$4:$K$203,$J132)&amp;"")</f>
      </c>
      <c r="H132" s="20">
        <f>IF($J132="","",IF(INDEX('2. Fee register'!$L$4:$L$203,$J132)="","",INDEX('2. Fee register'!$L$4:$L$203,$J132)))</f>
      </c>
      <c r="I132" s="18">
        <f>IF($J132="","",INDEX('2. Fee register'!$M$4:$M$203,$J132)&amp;"")</f>
      </c>
      <c r="J132">
        <f>IFERROR(MATCH(123,'2. Fee register'!$O$4:$O$203,0),"")</f>
      </c>
    </row>
    <row r="133" spans="1:10" x14ac:dyDescent="0.25">
      <c r="A133" s="18">
        <f>IF($J133="","",124)</f>
      </c>
      <c r="B133" s="18">
        <f>IF($J133="","",INDEX('2. Fee register'!$A$4:$A$203,$J133)&amp;"")</f>
      </c>
      <c r="C133" s="18">
        <f>IF($J133="","",INDEX('2. Fee register'!$B$4:$B$203,$J133)&amp;"")</f>
      </c>
      <c r="D133" s="18">
        <f>IF($J133="","",INDEX('2. Fee register'!$D$4:$D$203,$J133)&amp;"")</f>
      </c>
      <c r="E133" s="18">
        <f>IF($J133="","",INDEX('2. Fee register'!$E$4:$E$203,$J133)&amp;"")</f>
      </c>
      <c r="F133" s="19">
        <f>IF($J133="","",INDEX('2. Fee register'!$J$4:$J$203,$J133))</f>
      </c>
      <c r="G133" s="18">
        <f>IF($J133="","",INDEX('2. Fee register'!$K$4:$K$203,$J133)&amp;"")</f>
      </c>
      <c r="H133" s="20">
        <f>IF($J133="","",IF(INDEX('2. Fee register'!$L$4:$L$203,$J133)="","",INDEX('2. Fee register'!$L$4:$L$203,$J133)))</f>
      </c>
      <c r="I133" s="18">
        <f>IF($J133="","",INDEX('2. Fee register'!$M$4:$M$203,$J133)&amp;"")</f>
      </c>
      <c r="J133">
        <f>IFERROR(MATCH(124,'2. Fee register'!$O$4:$O$203,0),"")</f>
      </c>
    </row>
    <row r="134" spans="1:10" x14ac:dyDescent="0.25">
      <c r="A134" s="18">
        <f>IF($J134="","",125)</f>
      </c>
      <c r="B134" s="18">
        <f>IF($J134="","",INDEX('2. Fee register'!$A$4:$A$203,$J134)&amp;"")</f>
      </c>
      <c r="C134" s="18">
        <f>IF($J134="","",INDEX('2. Fee register'!$B$4:$B$203,$J134)&amp;"")</f>
      </c>
      <c r="D134" s="18">
        <f>IF($J134="","",INDEX('2. Fee register'!$D$4:$D$203,$J134)&amp;"")</f>
      </c>
      <c r="E134" s="18">
        <f>IF($J134="","",INDEX('2. Fee register'!$E$4:$E$203,$J134)&amp;"")</f>
      </c>
      <c r="F134" s="19">
        <f>IF($J134="","",INDEX('2. Fee register'!$J$4:$J$203,$J134))</f>
      </c>
      <c r="G134" s="18">
        <f>IF($J134="","",INDEX('2. Fee register'!$K$4:$K$203,$J134)&amp;"")</f>
      </c>
      <c r="H134" s="20">
        <f>IF($J134="","",IF(INDEX('2. Fee register'!$L$4:$L$203,$J134)="","",INDEX('2. Fee register'!$L$4:$L$203,$J134)))</f>
      </c>
      <c r="I134" s="18">
        <f>IF($J134="","",INDEX('2. Fee register'!$M$4:$M$203,$J134)&amp;"")</f>
      </c>
      <c r="J134">
        <f>IFERROR(MATCH(125,'2. Fee register'!$O$4:$O$203,0),"")</f>
      </c>
    </row>
    <row r="135" spans="1:10" x14ac:dyDescent="0.25">
      <c r="A135" s="18">
        <f>IF($J135="","",126)</f>
      </c>
      <c r="B135" s="18">
        <f>IF($J135="","",INDEX('2. Fee register'!$A$4:$A$203,$J135)&amp;"")</f>
      </c>
      <c r="C135" s="18">
        <f>IF($J135="","",INDEX('2. Fee register'!$B$4:$B$203,$J135)&amp;"")</f>
      </c>
      <c r="D135" s="18">
        <f>IF($J135="","",INDEX('2. Fee register'!$D$4:$D$203,$J135)&amp;"")</f>
      </c>
      <c r="E135" s="18">
        <f>IF($J135="","",INDEX('2. Fee register'!$E$4:$E$203,$J135)&amp;"")</f>
      </c>
      <c r="F135" s="19">
        <f>IF($J135="","",INDEX('2. Fee register'!$J$4:$J$203,$J135))</f>
      </c>
      <c r="G135" s="18">
        <f>IF($J135="","",INDEX('2. Fee register'!$K$4:$K$203,$J135)&amp;"")</f>
      </c>
      <c r="H135" s="20">
        <f>IF($J135="","",IF(INDEX('2. Fee register'!$L$4:$L$203,$J135)="","",INDEX('2. Fee register'!$L$4:$L$203,$J135)))</f>
      </c>
      <c r="I135" s="18">
        <f>IF($J135="","",INDEX('2. Fee register'!$M$4:$M$203,$J135)&amp;"")</f>
      </c>
      <c r="J135">
        <f>IFERROR(MATCH(126,'2. Fee register'!$O$4:$O$203,0),"")</f>
      </c>
    </row>
    <row r="136" spans="1:10" x14ac:dyDescent="0.25">
      <c r="A136" s="18">
        <f>IF($J136="","",127)</f>
      </c>
      <c r="B136" s="18">
        <f>IF($J136="","",INDEX('2. Fee register'!$A$4:$A$203,$J136)&amp;"")</f>
      </c>
      <c r="C136" s="18">
        <f>IF($J136="","",INDEX('2. Fee register'!$B$4:$B$203,$J136)&amp;"")</f>
      </c>
      <c r="D136" s="18">
        <f>IF($J136="","",INDEX('2. Fee register'!$D$4:$D$203,$J136)&amp;"")</f>
      </c>
      <c r="E136" s="18">
        <f>IF($J136="","",INDEX('2. Fee register'!$E$4:$E$203,$J136)&amp;"")</f>
      </c>
      <c r="F136" s="19">
        <f>IF($J136="","",INDEX('2. Fee register'!$J$4:$J$203,$J136))</f>
      </c>
      <c r="G136" s="18">
        <f>IF($J136="","",INDEX('2. Fee register'!$K$4:$K$203,$J136)&amp;"")</f>
      </c>
      <c r="H136" s="20">
        <f>IF($J136="","",IF(INDEX('2. Fee register'!$L$4:$L$203,$J136)="","",INDEX('2. Fee register'!$L$4:$L$203,$J136)))</f>
      </c>
      <c r="I136" s="18">
        <f>IF($J136="","",INDEX('2. Fee register'!$M$4:$M$203,$J136)&amp;"")</f>
      </c>
      <c r="J136">
        <f>IFERROR(MATCH(127,'2. Fee register'!$O$4:$O$203,0),"")</f>
      </c>
    </row>
    <row r="137" spans="1:10" x14ac:dyDescent="0.25">
      <c r="A137" s="18">
        <f>IF($J137="","",128)</f>
      </c>
      <c r="B137" s="18">
        <f>IF($J137="","",INDEX('2. Fee register'!$A$4:$A$203,$J137)&amp;"")</f>
      </c>
      <c r="C137" s="18">
        <f>IF($J137="","",INDEX('2. Fee register'!$B$4:$B$203,$J137)&amp;"")</f>
      </c>
      <c r="D137" s="18">
        <f>IF($J137="","",INDEX('2. Fee register'!$D$4:$D$203,$J137)&amp;"")</f>
      </c>
      <c r="E137" s="18">
        <f>IF($J137="","",INDEX('2. Fee register'!$E$4:$E$203,$J137)&amp;"")</f>
      </c>
      <c r="F137" s="19">
        <f>IF($J137="","",INDEX('2. Fee register'!$J$4:$J$203,$J137))</f>
      </c>
      <c r="G137" s="18">
        <f>IF($J137="","",INDEX('2. Fee register'!$K$4:$K$203,$J137)&amp;"")</f>
      </c>
      <c r="H137" s="20">
        <f>IF($J137="","",IF(INDEX('2. Fee register'!$L$4:$L$203,$J137)="","",INDEX('2. Fee register'!$L$4:$L$203,$J137)))</f>
      </c>
      <c r="I137" s="18">
        <f>IF($J137="","",INDEX('2. Fee register'!$M$4:$M$203,$J137)&amp;"")</f>
      </c>
      <c r="J137">
        <f>IFERROR(MATCH(128,'2. Fee register'!$O$4:$O$203,0),"")</f>
      </c>
    </row>
    <row r="138" spans="1:10" x14ac:dyDescent="0.25">
      <c r="A138" s="18">
        <f>IF($J138="","",129)</f>
      </c>
      <c r="B138" s="18">
        <f>IF($J138="","",INDEX('2. Fee register'!$A$4:$A$203,$J138)&amp;"")</f>
      </c>
      <c r="C138" s="18">
        <f>IF($J138="","",INDEX('2. Fee register'!$B$4:$B$203,$J138)&amp;"")</f>
      </c>
      <c r="D138" s="18">
        <f>IF($J138="","",INDEX('2. Fee register'!$D$4:$D$203,$J138)&amp;"")</f>
      </c>
      <c r="E138" s="18">
        <f>IF($J138="","",INDEX('2. Fee register'!$E$4:$E$203,$J138)&amp;"")</f>
      </c>
      <c r="F138" s="19">
        <f>IF($J138="","",INDEX('2. Fee register'!$J$4:$J$203,$J138))</f>
      </c>
      <c r="G138" s="18">
        <f>IF($J138="","",INDEX('2. Fee register'!$K$4:$K$203,$J138)&amp;"")</f>
      </c>
      <c r="H138" s="20">
        <f>IF($J138="","",IF(INDEX('2. Fee register'!$L$4:$L$203,$J138)="","",INDEX('2. Fee register'!$L$4:$L$203,$J138)))</f>
      </c>
      <c r="I138" s="18">
        <f>IF($J138="","",INDEX('2. Fee register'!$M$4:$M$203,$J138)&amp;"")</f>
      </c>
      <c r="J138">
        <f>IFERROR(MATCH(129,'2. Fee register'!$O$4:$O$203,0),"")</f>
      </c>
    </row>
    <row r="139" spans="1:10" x14ac:dyDescent="0.25">
      <c r="A139" s="18">
        <f>IF($J139="","",130)</f>
      </c>
      <c r="B139" s="18">
        <f>IF($J139="","",INDEX('2. Fee register'!$A$4:$A$203,$J139)&amp;"")</f>
      </c>
      <c r="C139" s="18">
        <f>IF($J139="","",INDEX('2. Fee register'!$B$4:$B$203,$J139)&amp;"")</f>
      </c>
      <c r="D139" s="18">
        <f>IF($J139="","",INDEX('2. Fee register'!$D$4:$D$203,$J139)&amp;"")</f>
      </c>
      <c r="E139" s="18">
        <f>IF($J139="","",INDEX('2. Fee register'!$E$4:$E$203,$J139)&amp;"")</f>
      </c>
      <c r="F139" s="19">
        <f>IF($J139="","",INDEX('2. Fee register'!$J$4:$J$203,$J139))</f>
      </c>
      <c r="G139" s="18">
        <f>IF($J139="","",INDEX('2. Fee register'!$K$4:$K$203,$J139)&amp;"")</f>
      </c>
      <c r="H139" s="20">
        <f>IF($J139="","",IF(INDEX('2. Fee register'!$L$4:$L$203,$J139)="","",INDEX('2. Fee register'!$L$4:$L$203,$J139)))</f>
      </c>
      <c r="I139" s="18">
        <f>IF($J139="","",INDEX('2. Fee register'!$M$4:$M$203,$J139)&amp;"")</f>
      </c>
      <c r="J139">
        <f>IFERROR(MATCH(130,'2. Fee register'!$O$4:$O$203,0),"")</f>
      </c>
    </row>
    <row r="140" spans="1:10" x14ac:dyDescent="0.25">
      <c r="A140" s="18">
        <f>IF($J140="","",131)</f>
      </c>
      <c r="B140" s="18">
        <f>IF($J140="","",INDEX('2. Fee register'!$A$4:$A$203,$J140)&amp;"")</f>
      </c>
      <c r="C140" s="18">
        <f>IF($J140="","",INDEX('2. Fee register'!$B$4:$B$203,$J140)&amp;"")</f>
      </c>
      <c r="D140" s="18">
        <f>IF($J140="","",INDEX('2. Fee register'!$D$4:$D$203,$J140)&amp;"")</f>
      </c>
      <c r="E140" s="18">
        <f>IF($J140="","",INDEX('2. Fee register'!$E$4:$E$203,$J140)&amp;"")</f>
      </c>
      <c r="F140" s="19">
        <f>IF($J140="","",INDEX('2. Fee register'!$J$4:$J$203,$J140))</f>
      </c>
      <c r="G140" s="18">
        <f>IF($J140="","",INDEX('2. Fee register'!$K$4:$K$203,$J140)&amp;"")</f>
      </c>
      <c r="H140" s="20">
        <f>IF($J140="","",IF(INDEX('2. Fee register'!$L$4:$L$203,$J140)="","",INDEX('2. Fee register'!$L$4:$L$203,$J140)))</f>
      </c>
      <c r="I140" s="18">
        <f>IF($J140="","",INDEX('2. Fee register'!$M$4:$M$203,$J140)&amp;"")</f>
      </c>
      <c r="J140">
        <f>IFERROR(MATCH(131,'2. Fee register'!$O$4:$O$203,0),"")</f>
      </c>
    </row>
    <row r="141" spans="1:10" x14ac:dyDescent="0.25">
      <c r="A141" s="18">
        <f>IF($J141="","",132)</f>
      </c>
      <c r="B141" s="18">
        <f>IF($J141="","",INDEX('2. Fee register'!$A$4:$A$203,$J141)&amp;"")</f>
      </c>
      <c r="C141" s="18">
        <f>IF($J141="","",INDEX('2. Fee register'!$B$4:$B$203,$J141)&amp;"")</f>
      </c>
      <c r="D141" s="18">
        <f>IF($J141="","",INDEX('2. Fee register'!$D$4:$D$203,$J141)&amp;"")</f>
      </c>
      <c r="E141" s="18">
        <f>IF($J141="","",INDEX('2. Fee register'!$E$4:$E$203,$J141)&amp;"")</f>
      </c>
      <c r="F141" s="19">
        <f>IF($J141="","",INDEX('2. Fee register'!$J$4:$J$203,$J141))</f>
      </c>
      <c r="G141" s="18">
        <f>IF($J141="","",INDEX('2. Fee register'!$K$4:$K$203,$J141)&amp;"")</f>
      </c>
      <c r="H141" s="20">
        <f>IF($J141="","",IF(INDEX('2. Fee register'!$L$4:$L$203,$J141)="","",INDEX('2. Fee register'!$L$4:$L$203,$J141)))</f>
      </c>
      <c r="I141" s="18">
        <f>IF($J141="","",INDEX('2. Fee register'!$M$4:$M$203,$J141)&amp;"")</f>
      </c>
      <c r="J141">
        <f>IFERROR(MATCH(132,'2. Fee register'!$O$4:$O$203,0),"")</f>
      </c>
    </row>
    <row r="142" spans="1:10" x14ac:dyDescent="0.25">
      <c r="A142" s="18">
        <f>IF($J142="","",133)</f>
      </c>
      <c r="B142" s="18">
        <f>IF($J142="","",INDEX('2. Fee register'!$A$4:$A$203,$J142)&amp;"")</f>
      </c>
      <c r="C142" s="18">
        <f>IF($J142="","",INDEX('2. Fee register'!$B$4:$B$203,$J142)&amp;"")</f>
      </c>
      <c r="D142" s="18">
        <f>IF($J142="","",INDEX('2. Fee register'!$D$4:$D$203,$J142)&amp;"")</f>
      </c>
      <c r="E142" s="18">
        <f>IF($J142="","",INDEX('2. Fee register'!$E$4:$E$203,$J142)&amp;"")</f>
      </c>
      <c r="F142" s="19">
        <f>IF($J142="","",INDEX('2. Fee register'!$J$4:$J$203,$J142))</f>
      </c>
      <c r="G142" s="18">
        <f>IF($J142="","",INDEX('2. Fee register'!$K$4:$K$203,$J142)&amp;"")</f>
      </c>
      <c r="H142" s="20">
        <f>IF($J142="","",IF(INDEX('2. Fee register'!$L$4:$L$203,$J142)="","",INDEX('2. Fee register'!$L$4:$L$203,$J142)))</f>
      </c>
      <c r="I142" s="18">
        <f>IF($J142="","",INDEX('2. Fee register'!$M$4:$M$203,$J142)&amp;"")</f>
      </c>
      <c r="J142">
        <f>IFERROR(MATCH(133,'2. Fee register'!$O$4:$O$203,0),"")</f>
      </c>
    </row>
    <row r="143" spans="1:10" x14ac:dyDescent="0.25">
      <c r="A143" s="18">
        <f>IF($J143="","",134)</f>
      </c>
      <c r="B143" s="18">
        <f>IF($J143="","",INDEX('2. Fee register'!$A$4:$A$203,$J143)&amp;"")</f>
      </c>
      <c r="C143" s="18">
        <f>IF($J143="","",INDEX('2. Fee register'!$B$4:$B$203,$J143)&amp;"")</f>
      </c>
      <c r="D143" s="18">
        <f>IF($J143="","",INDEX('2. Fee register'!$D$4:$D$203,$J143)&amp;"")</f>
      </c>
      <c r="E143" s="18">
        <f>IF($J143="","",INDEX('2. Fee register'!$E$4:$E$203,$J143)&amp;"")</f>
      </c>
      <c r="F143" s="19">
        <f>IF($J143="","",INDEX('2. Fee register'!$J$4:$J$203,$J143))</f>
      </c>
      <c r="G143" s="18">
        <f>IF($J143="","",INDEX('2. Fee register'!$K$4:$K$203,$J143)&amp;"")</f>
      </c>
      <c r="H143" s="20">
        <f>IF($J143="","",IF(INDEX('2. Fee register'!$L$4:$L$203,$J143)="","",INDEX('2. Fee register'!$L$4:$L$203,$J143)))</f>
      </c>
      <c r="I143" s="18">
        <f>IF($J143="","",INDEX('2. Fee register'!$M$4:$M$203,$J143)&amp;"")</f>
      </c>
      <c r="J143">
        <f>IFERROR(MATCH(134,'2. Fee register'!$O$4:$O$203,0),"")</f>
      </c>
    </row>
    <row r="144" spans="1:10" x14ac:dyDescent="0.25">
      <c r="A144" s="18">
        <f>IF($J144="","",135)</f>
      </c>
      <c r="B144" s="18">
        <f>IF($J144="","",INDEX('2. Fee register'!$A$4:$A$203,$J144)&amp;"")</f>
      </c>
      <c r="C144" s="18">
        <f>IF($J144="","",INDEX('2. Fee register'!$B$4:$B$203,$J144)&amp;"")</f>
      </c>
      <c r="D144" s="18">
        <f>IF($J144="","",INDEX('2. Fee register'!$D$4:$D$203,$J144)&amp;"")</f>
      </c>
      <c r="E144" s="18">
        <f>IF($J144="","",INDEX('2. Fee register'!$E$4:$E$203,$J144)&amp;"")</f>
      </c>
      <c r="F144" s="19">
        <f>IF($J144="","",INDEX('2. Fee register'!$J$4:$J$203,$J144))</f>
      </c>
      <c r="G144" s="18">
        <f>IF($J144="","",INDEX('2. Fee register'!$K$4:$K$203,$J144)&amp;"")</f>
      </c>
      <c r="H144" s="20">
        <f>IF($J144="","",IF(INDEX('2. Fee register'!$L$4:$L$203,$J144)="","",INDEX('2. Fee register'!$L$4:$L$203,$J144)))</f>
      </c>
      <c r="I144" s="18">
        <f>IF($J144="","",INDEX('2. Fee register'!$M$4:$M$203,$J144)&amp;"")</f>
      </c>
      <c r="J144">
        <f>IFERROR(MATCH(135,'2. Fee register'!$O$4:$O$203,0),"")</f>
      </c>
    </row>
    <row r="145" spans="1:10" x14ac:dyDescent="0.25">
      <c r="A145" s="18">
        <f>IF($J145="","",136)</f>
      </c>
      <c r="B145" s="18">
        <f>IF($J145="","",INDEX('2. Fee register'!$A$4:$A$203,$J145)&amp;"")</f>
      </c>
      <c r="C145" s="18">
        <f>IF($J145="","",INDEX('2. Fee register'!$B$4:$B$203,$J145)&amp;"")</f>
      </c>
      <c r="D145" s="18">
        <f>IF($J145="","",INDEX('2. Fee register'!$D$4:$D$203,$J145)&amp;"")</f>
      </c>
      <c r="E145" s="18">
        <f>IF($J145="","",INDEX('2. Fee register'!$E$4:$E$203,$J145)&amp;"")</f>
      </c>
      <c r="F145" s="19">
        <f>IF($J145="","",INDEX('2. Fee register'!$J$4:$J$203,$J145))</f>
      </c>
      <c r="G145" s="18">
        <f>IF($J145="","",INDEX('2. Fee register'!$K$4:$K$203,$J145)&amp;"")</f>
      </c>
      <c r="H145" s="20">
        <f>IF($J145="","",IF(INDEX('2. Fee register'!$L$4:$L$203,$J145)="","",INDEX('2. Fee register'!$L$4:$L$203,$J145)))</f>
      </c>
      <c r="I145" s="18">
        <f>IF($J145="","",INDEX('2. Fee register'!$M$4:$M$203,$J145)&amp;"")</f>
      </c>
      <c r="J145">
        <f>IFERROR(MATCH(136,'2. Fee register'!$O$4:$O$203,0),"")</f>
      </c>
    </row>
    <row r="146" spans="1:10" x14ac:dyDescent="0.25">
      <c r="A146" s="18">
        <f>IF($J146="","",137)</f>
      </c>
      <c r="B146" s="18">
        <f>IF($J146="","",INDEX('2. Fee register'!$A$4:$A$203,$J146)&amp;"")</f>
      </c>
      <c r="C146" s="18">
        <f>IF($J146="","",INDEX('2. Fee register'!$B$4:$B$203,$J146)&amp;"")</f>
      </c>
      <c r="D146" s="18">
        <f>IF($J146="","",INDEX('2. Fee register'!$D$4:$D$203,$J146)&amp;"")</f>
      </c>
      <c r="E146" s="18">
        <f>IF($J146="","",INDEX('2. Fee register'!$E$4:$E$203,$J146)&amp;"")</f>
      </c>
      <c r="F146" s="19">
        <f>IF($J146="","",INDEX('2. Fee register'!$J$4:$J$203,$J146))</f>
      </c>
      <c r="G146" s="18">
        <f>IF($J146="","",INDEX('2. Fee register'!$K$4:$K$203,$J146)&amp;"")</f>
      </c>
      <c r="H146" s="20">
        <f>IF($J146="","",IF(INDEX('2. Fee register'!$L$4:$L$203,$J146)="","",INDEX('2. Fee register'!$L$4:$L$203,$J146)))</f>
      </c>
      <c r="I146" s="18">
        <f>IF($J146="","",INDEX('2. Fee register'!$M$4:$M$203,$J146)&amp;"")</f>
      </c>
      <c r="J146">
        <f>IFERROR(MATCH(137,'2. Fee register'!$O$4:$O$203,0),"")</f>
      </c>
    </row>
    <row r="147" spans="1:10" x14ac:dyDescent="0.25">
      <c r="A147" s="18">
        <f>IF($J147="","",138)</f>
      </c>
      <c r="B147" s="18">
        <f>IF($J147="","",INDEX('2. Fee register'!$A$4:$A$203,$J147)&amp;"")</f>
      </c>
      <c r="C147" s="18">
        <f>IF($J147="","",INDEX('2. Fee register'!$B$4:$B$203,$J147)&amp;"")</f>
      </c>
      <c r="D147" s="18">
        <f>IF($J147="","",INDEX('2. Fee register'!$D$4:$D$203,$J147)&amp;"")</f>
      </c>
      <c r="E147" s="18">
        <f>IF($J147="","",INDEX('2. Fee register'!$E$4:$E$203,$J147)&amp;"")</f>
      </c>
      <c r="F147" s="19">
        <f>IF($J147="","",INDEX('2. Fee register'!$J$4:$J$203,$J147))</f>
      </c>
      <c r="G147" s="18">
        <f>IF($J147="","",INDEX('2. Fee register'!$K$4:$K$203,$J147)&amp;"")</f>
      </c>
      <c r="H147" s="20">
        <f>IF($J147="","",IF(INDEX('2. Fee register'!$L$4:$L$203,$J147)="","",INDEX('2. Fee register'!$L$4:$L$203,$J147)))</f>
      </c>
      <c r="I147" s="18">
        <f>IF($J147="","",INDEX('2. Fee register'!$M$4:$M$203,$J147)&amp;"")</f>
      </c>
      <c r="J147">
        <f>IFERROR(MATCH(138,'2. Fee register'!$O$4:$O$203,0),"")</f>
      </c>
    </row>
    <row r="148" spans="1:10" x14ac:dyDescent="0.25">
      <c r="A148" s="18">
        <f>IF($J148="","",139)</f>
      </c>
      <c r="B148" s="18">
        <f>IF($J148="","",INDEX('2. Fee register'!$A$4:$A$203,$J148)&amp;"")</f>
      </c>
      <c r="C148" s="18">
        <f>IF($J148="","",INDEX('2. Fee register'!$B$4:$B$203,$J148)&amp;"")</f>
      </c>
      <c r="D148" s="18">
        <f>IF($J148="","",INDEX('2. Fee register'!$D$4:$D$203,$J148)&amp;"")</f>
      </c>
      <c r="E148" s="18">
        <f>IF($J148="","",INDEX('2. Fee register'!$E$4:$E$203,$J148)&amp;"")</f>
      </c>
      <c r="F148" s="19">
        <f>IF($J148="","",INDEX('2. Fee register'!$J$4:$J$203,$J148))</f>
      </c>
      <c r="G148" s="18">
        <f>IF($J148="","",INDEX('2. Fee register'!$K$4:$K$203,$J148)&amp;"")</f>
      </c>
      <c r="H148" s="20">
        <f>IF($J148="","",IF(INDEX('2. Fee register'!$L$4:$L$203,$J148)="","",INDEX('2. Fee register'!$L$4:$L$203,$J148)))</f>
      </c>
      <c r="I148" s="18">
        <f>IF($J148="","",INDEX('2. Fee register'!$M$4:$M$203,$J148)&amp;"")</f>
      </c>
      <c r="J148">
        <f>IFERROR(MATCH(139,'2. Fee register'!$O$4:$O$203,0),"")</f>
      </c>
    </row>
    <row r="149" spans="1:10" x14ac:dyDescent="0.25">
      <c r="A149" s="18">
        <f>IF($J149="","",140)</f>
      </c>
      <c r="B149" s="18">
        <f>IF($J149="","",INDEX('2. Fee register'!$A$4:$A$203,$J149)&amp;"")</f>
      </c>
      <c r="C149" s="18">
        <f>IF($J149="","",INDEX('2. Fee register'!$B$4:$B$203,$J149)&amp;"")</f>
      </c>
      <c r="D149" s="18">
        <f>IF($J149="","",INDEX('2. Fee register'!$D$4:$D$203,$J149)&amp;"")</f>
      </c>
      <c r="E149" s="18">
        <f>IF($J149="","",INDEX('2. Fee register'!$E$4:$E$203,$J149)&amp;"")</f>
      </c>
      <c r="F149" s="19">
        <f>IF($J149="","",INDEX('2. Fee register'!$J$4:$J$203,$J149))</f>
      </c>
      <c r="G149" s="18">
        <f>IF($J149="","",INDEX('2. Fee register'!$K$4:$K$203,$J149)&amp;"")</f>
      </c>
      <c r="H149" s="20">
        <f>IF($J149="","",IF(INDEX('2. Fee register'!$L$4:$L$203,$J149)="","",INDEX('2. Fee register'!$L$4:$L$203,$J149)))</f>
      </c>
      <c r="I149" s="18">
        <f>IF($J149="","",INDEX('2. Fee register'!$M$4:$M$203,$J149)&amp;"")</f>
      </c>
      <c r="J149">
        <f>IFERROR(MATCH(140,'2. Fee register'!$O$4:$O$203,0),"")</f>
      </c>
    </row>
    <row r="150" spans="1:10" x14ac:dyDescent="0.25">
      <c r="A150" s="18">
        <f>IF($J150="","",141)</f>
      </c>
      <c r="B150" s="18">
        <f>IF($J150="","",INDEX('2. Fee register'!$A$4:$A$203,$J150)&amp;"")</f>
      </c>
      <c r="C150" s="18">
        <f>IF($J150="","",INDEX('2. Fee register'!$B$4:$B$203,$J150)&amp;"")</f>
      </c>
      <c r="D150" s="18">
        <f>IF($J150="","",INDEX('2. Fee register'!$D$4:$D$203,$J150)&amp;"")</f>
      </c>
      <c r="E150" s="18">
        <f>IF($J150="","",INDEX('2. Fee register'!$E$4:$E$203,$J150)&amp;"")</f>
      </c>
      <c r="F150" s="19">
        <f>IF($J150="","",INDEX('2. Fee register'!$J$4:$J$203,$J150))</f>
      </c>
      <c r="G150" s="18">
        <f>IF($J150="","",INDEX('2. Fee register'!$K$4:$K$203,$J150)&amp;"")</f>
      </c>
      <c r="H150" s="20">
        <f>IF($J150="","",IF(INDEX('2. Fee register'!$L$4:$L$203,$J150)="","",INDEX('2. Fee register'!$L$4:$L$203,$J150)))</f>
      </c>
      <c r="I150" s="18">
        <f>IF($J150="","",INDEX('2. Fee register'!$M$4:$M$203,$J150)&amp;"")</f>
      </c>
      <c r="J150">
        <f>IFERROR(MATCH(141,'2. Fee register'!$O$4:$O$203,0),"")</f>
      </c>
    </row>
    <row r="151" spans="1:10" x14ac:dyDescent="0.25">
      <c r="A151" s="18">
        <f>IF($J151="","",142)</f>
      </c>
      <c r="B151" s="18">
        <f>IF($J151="","",INDEX('2. Fee register'!$A$4:$A$203,$J151)&amp;"")</f>
      </c>
      <c r="C151" s="18">
        <f>IF($J151="","",INDEX('2. Fee register'!$B$4:$B$203,$J151)&amp;"")</f>
      </c>
      <c r="D151" s="18">
        <f>IF($J151="","",INDEX('2. Fee register'!$D$4:$D$203,$J151)&amp;"")</f>
      </c>
      <c r="E151" s="18">
        <f>IF($J151="","",INDEX('2. Fee register'!$E$4:$E$203,$J151)&amp;"")</f>
      </c>
      <c r="F151" s="19">
        <f>IF($J151="","",INDEX('2. Fee register'!$J$4:$J$203,$J151))</f>
      </c>
      <c r="G151" s="18">
        <f>IF($J151="","",INDEX('2. Fee register'!$K$4:$K$203,$J151)&amp;"")</f>
      </c>
      <c r="H151" s="20">
        <f>IF($J151="","",IF(INDEX('2. Fee register'!$L$4:$L$203,$J151)="","",INDEX('2. Fee register'!$L$4:$L$203,$J151)))</f>
      </c>
      <c r="I151" s="18">
        <f>IF($J151="","",INDEX('2. Fee register'!$M$4:$M$203,$J151)&amp;"")</f>
      </c>
      <c r="J151">
        <f>IFERROR(MATCH(142,'2. Fee register'!$O$4:$O$203,0),"")</f>
      </c>
    </row>
    <row r="152" spans="1:10" x14ac:dyDescent="0.25">
      <c r="A152" s="18">
        <f>IF($J152="","",143)</f>
      </c>
      <c r="B152" s="18">
        <f>IF($J152="","",INDEX('2. Fee register'!$A$4:$A$203,$J152)&amp;"")</f>
      </c>
      <c r="C152" s="18">
        <f>IF($J152="","",INDEX('2. Fee register'!$B$4:$B$203,$J152)&amp;"")</f>
      </c>
      <c r="D152" s="18">
        <f>IF($J152="","",INDEX('2. Fee register'!$D$4:$D$203,$J152)&amp;"")</f>
      </c>
      <c r="E152" s="18">
        <f>IF($J152="","",INDEX('2. Fee register'!$E$4:$E$203,$J152)&amp;"")</f>
      </c>
      <c r="F152" s="19">
        <f>IF($J152="","",INDEX('2. Fee register'!$J$4:$J$203,$J152))</f>
      </c>
      <c r="G152" s="18">
        <f>IF($J152="","",INDEX('2. Fee register'!$K$4:$K$203,$J152)&amp;"")</f>
      </c>
      <c r="H152" s="20">
        <f>IF($J152="","",IF(INDEX('2. Fee register'!$L$4:$L$203,$J152)="","",INDEX('2. Fee register'!$L$4:$L$203,$J152)))</f>
      </c>
      <c r="I152" s="18">
        <f>IF($J152="","",INDEX('2. Fee register'!$M$4:$M$203,$J152)&amp;"")</f>
      </c>
      <c r="J152">
        <f>IFERROR(MATCH(143,'2. Fee register'!$O$4:$O$203,0),"")</f>
      </c>
    </row>
    <row r="153" spans="1:10" x14ac:dyDescent="0.25">
      <c r="A153" s="18">
        <f>IF($J153="","",144)</f>
      </c>
      <c r="B153" s="18">
        <f>IF($J153="","",INDEX('2. Fee register'!$A$4:$A$203,$J153)&amp;"")</f>
      </c>
      <c r="C153" s="18">
        <f>IF($J153="","",INDEX('2. Fee register'!$B$4:$B$203,$J153)&amp;"")</f>
      </c>
      <c r="D153" s="18">
        <f>IF($J153="","",INDEX('2. Fee register'!$D$4:$D$203,$J153)&amp;"")</f>
      </c>
      <c r="E153" s="18">
        <f>IF($J153="","",INDEX('2. Fee register'!$E$4:$E$203,$J153)&amp;"")</f>
      </c>
      <c r="F153" s="19">
        <f>IF($J153="","",INDEX('2. Fee register'!$J$4:$J$203,$J153))</f>
      </c>
      <c r="G153" s="18">
        <f>IF($J153="","",INDEX('2. Fee register'!$K$4:$K$203,$J153)&amp;"")</f>
      </c>
      <c r="H153" s="20">
        <f>IF($J153="","",IF(INDEX('2. Fee register'!$L$4:$L$203,$J153)="","",INDEX('2. Fee register'!$L$4:$L$203,$J153)))</f>
      </c>
      <c r="I153" s="18">
        <f>IF($J153="","",INDEX('2. Fee register'!$M$4:$M$203,$J153)&amp;"")</f>
      </c>
      <c r="J153">
        <f>IFERROR(MATCH(144,'2. Fee register'!$O$4:$O$203,0),"")</f>
      </c>
    </row>
    <row r="154" spans="1:10" x14ac:dyDescent="0.25">
      <c r="A154" s="18">
        <f>IF($J154="","",145)</f>
      </c>
      <c r="B154" s="18">
        <f>IF($J154="","",INDEX('2. Fee register'!$A$4:$A$203,$J154)&amp;"")</f>
      </c>
      <c r="C154" s="18">
        <f>IF($J154="","",INDEX('2. Fee register'!$B$4:$B$203,$J154)&amp;"")</f>
      </c>
      <c r="D154" s="18">
        <f>IF($J154="","",INDEX('2. Fee register'!$D$4:$D$203,$J154)&amp;"")</f>
      </c>
      <c r="E154" s="18">
        <f>IF($J154="","",INDEX('2. Fee register'!$E$4:$E$203,$J154)&amp;"")</f>
      </c>
      <c r="F154" s="19">
        <f>IF($J154="","",INDEX('2. Fee register'!$J$4:$J$203,$J154))</f>
      </c>
      <c r="G154" s="18">
        <f>IF($J154="","",INDEX('2. Fee register'!$K$4:$K$203,$J154)&amp;"")</f>
      </c>
      <c r="H154" s="20">
        <f>IF($J154="","",IF(INDEX('2. Fee register'!$L$4:$L$203,$J154)="","",INDEX('2. Fee register'!$L$4:$L$203,$J154)))</f>
      </c>
      <c r="I154" s="18">
        <f>IF($J154="","",INDEX('2. Fee register'!$M$4:$M$203,$J154)&amp;"")</f>
      </c>
      <c r="J154">
        <f>IFERROR(MATCH(145,'2. Fee register'!$O$4:$O$203,0),"")</f>
      </c>
    </row>
    <row r="155" spans="1:10" x14ac:dyDescent="0.25">
      <c r="A155" s="18">
        <f>IF($J155="","",146)</f>
      </c>
      <c r="B155" s="18">
        <f>IF($J155="","",INDEX('2. Fee register'!$A$4:$A$203,$J155)&amp;"")</f>
      </c>
      <c r="C155" s="18">
        <f>IF($J155="","",INDEX('2. Fee register'!$B$4:$B$203,$J155)&amp;"")</f>
      </c>
      <c r="D155" s="18">
        <f>IF($J155="","",INDEX('2. Fee register'!$D$4:$D$203,$J155)&amp;"")</f>
      </c>
      <c r="E155" s="18">
        <f>IF($J155="","",INDEX('2. Fee register'!$E$4:$E$203,$J155)&amp;"")</f>
      </c>
      <c r="F155" s="19">
        <f>IF($J155="","",INDEX('2. Fee register'!$J$4:$J$203,$J155))</f>
      </c>
      <c r="G155" s="18">
        <f>IF($J155="","",INDEX('2. Fee register'!$K$4:$K$203,$J155)&amp;"")</f>
      </c>
      <c r="H155" s="20">
        <f>IF($J155="","",IF(INDEX('2. Fee register'!$L$4:$L$203,$J155)="","",INDEX('2. Fee register'!$L$4:$L$203,$J155)))</f>
      </c>
      <c r="I155" s="18">
        <f>IF($J155="","",INDEX('2. Fee register'!$M$4:$M$203,$J155)&amp;"")</f>
      </c>
      <c r="J155">
        <f>IFERROR(MATCH(146,'2. Fee register'!$O$4:$O$203,0),"")</f>
      </c>
    </row>
    <row r="156" spans="1:10" x14ac:dyDescent="0.25">
      <c r="A156" s="18">
        <f>IF($J156="","",147)</f>
      </c>
      <c r="B156" s="18">
        <f>IF($J156="","",INDEX('2. Fee register'!$A$4:$A$203,$J156)&amp;"")</f>
      </c>
      <c r="C156" s="18">
        <f>IF($J156="","",INDEX('2. Fee register'!$B$4:$B$203,$J156)&amp;"")</f>
      </c>
      <c r="D156" s="18">
        <f>IF($J156="","",INDEX('2. Fee register'!$D$4:$D$203,$J156)&amp;"")</f>
      </c>
      <c r="E156" s="18">
        <f>IF($J156="","",INDEX('2. Fee register'!$E$4:$E$203,$J156)&amp;"")</f>
      </c>
      <c r="F156" s="19">
        <f>IF($J156="","",INDEX('2. Fee register'!$J$4:$J$203,$J156))</f>
      </c>
      <c r="G156" s="18">
        <f>IF($J156="","",INDEX('2. Fee register'!$K$4:$K$203,$J156)&amp;"")</f>
      </c>
      <c r="H156" s="20">
        <f>IF($J156="","",IF(INDEX('2. Fee register'!$L$4:$L$203,$J156)="","",INDEX('2. Fee register'!$L$4:$L$203,$J156)))</f>
      </c>
      <c r="I156" s="18">
        <f>IF($J156="","",INDEX('2. Fee register'!$M$4:$M$203,$J156)&amp;"")</f>
      </c>
      <c r="J156">
        <f>IFERROR(MATCH(147,'2. Fee register'!$O$4:$O$203,0),"")</f>
      </c>
    </row>
    <row r="157" spans="1:10" x14ac:dyDescent="0.25">
      <c r="A157" s="18">
        <f>IF($J157="","",148)</f>
      </c>
      <c r="B157" s="18">
        <f>IF($J157="","",INDEX('2. Fee register'!$A$4:$A$203,$J157)&amp;"")</f>
      </c>
      <c r="C157" s="18">
        <f>IF($J157="","",INDEX('2. Fee register'!$B$4:$B$203,$J157)&amp;"")</f>
      </c>
      <c r="D157" s="18">
        <f>IF($J157="","",INDEX('2. Fee register'!$D$4:$D$203,$J157)&amp;"")</f>
      </c>
      <c r="E157" s="18">
        <f>IF($J157="","",INDEX('2. Fee register'!$E$4:$E$203,$J157)&amp;"")</f>
      </c>
      <c r="F157" s="19">
        <f>IF($J157="","",INDEX('2. Fee register'!$J$4:$J$203,$J157))</f>
      </c>
      <c r="G157" s="18">
        <f>IF($J157="","",INDEX('2. Fee register'!$K$4:$K$203,$J157)&amp;"")</f>
      </c>
      <c r="H157" s="20">
        <f>IF($J157="","",IF(INDEX('2. Fee register'!$L$4:$L$203,$J157)="","",INDEX('2. Fee register'!$L$4:$L$203,$J157)))</f>
      </c>
      <c r="I157" s="18">
        <f>IF($J157="","",INDEX('2. Fee register'!$M$4:$M$203,$J157)&amp;"")</f>
      </c>
      <c r="J157">
        <f>IFERROR(MATCH(148,'2. Fee register'!$O$4:$O$203,0),"")</f>
      </c>
    </row>
    <row r="158" spans="1:10" x14ac:dyDescent="0.25">
      <c r="A158" s="18">
        <f>IF($J158="","",149)</f>
      </c>
      <c r="B158" s="18">
        <f>IF($J158="","",INDEX('2. Fee register'!$A$4:$A$203,$J158)&amp;"")</f>
      </c>
      <c r="C158" s="18">
        <f>IF($J158="","",INDEX('2. Fee register'!$B$4:$B$203,$J158)&amp;"")</f>
      </c>
      <c r="D158" s="18">
        <f>IF($J158="","",INDEX('2. Fee register'!$D$4:$D$203,$J158)&amp;"")</f>
      </c>
      <c r="E158" s="18">
        <f>IF($J158="","",INDEX('2. Fee register'!$E$4:$E$203,$J158)&amp;"")</f>
      </c>
      <c r="F158" s="19">
        <f>IF($J158="","",INDEX('2. Fee register'!$J$4:$J$203,$J158))</f>
      </c>
      <c r="G158" s="18">
        <f>IF($J158="","",INDEX('2. Fee register'!$K$4:$K$203,$J158)&amp;"")</f>
      </c>
      <c r="H158" s="20">
        <f>IF($J158="","",IF(INDEX('2. Fee register'!$L$4:$L$203,$J158)="","",INDEX('2. Fee register'!$L$4:$L$203,$J158)))</f>
      </c>
      <c r="I158" s="18">
        <f>IF($J158="","",INDEX('2. Fee register'!$M$4:$M$203,$J158)&amp;"")</f>
      </c>
      <c r="J158">
        <f>IFERROR(MATCH(149,'2. Fee register'!$O$4:$O$203,0),"")</f>
      </c>
    </row>
    <row r="159" spans="1:10" x14ac:dyDescent="0.25">
      <c r="A159" s="18">
        <f>IF($J159="","",150)</f>
      </c>
      <c r="B159" s="18">
        <f>IF($J159="","",INDEX('2. Fee register'!$A$4:$A$203,$J159)&amp;"")</f>
      </c>
      <c r="C159" s="18">
        <f>IF($J159="","",INDEX('2. Fee register'!$B$4:$B$203,$J159)&amp;"")</f>
      </c>
      <c r="D159" s="18">
        <f>IF($J159="","",INDEX('2. Fee register'!$D$4:$D$203,$J159)&amp;"")</f>
      </c>
      <c r="E159" s="18">
        <f>IF($J159="","",INDEX('2. Fee register'!$E$4:$E$203,$J159)&amp;"")</f>
      </c>
      <c r="F159" s="19">
        <f>IF($J159="","",INDEX('2. Fee register'!$J$4:$J$203,$J159))</f>
      </c>
      <c r="G159" s="18">
        <f>IF($J159="","",INDEX('2. Fee register'!$K$4:$K$203,$J159)&amp;"")</f>
      </c>
      <c r="H159" s="20">
        <f>IF($J159="","",IF(INDEX('2. Fee register'!$L$4:$L$203,$J159)="","",INDEX('2. Fee register'!$L$4:$L$203,$J159)))</f>
      </c>
      <c r="I159" s="18">
        <f>IF($J159="","",INDEX('2. Fee register'!$M$4:$M$203,$J159)&amp;"")</f>
      </c>
      <c r="J159">
        <f>IFERROR(MATCH(150,'2. Fee register'!$O$4:$O$203,0),"")</f>
      </c>
    </row>
    <row r="160" spans="1:10" x14ac:dyDescent="0.25">
      <c r="A160" s="18">
        <f>IF($J160="","",151)</f>
      </c>
      <c r="B160" s="18">
        <f>IF($J160="","",INDEX('2. Fee register'!$A$4:$A$203,$J160)&amp;"")</f>
      </c>
      <c r="C160" s="18">
        <f>IF($J160="","",INDEX('2. Fee register'!$B$4:$B$203,$J160)&amp;"")</f>
      </c>
      <c r="D160" s="18">
        <f>IF($J160="","",INDEX('2. Fee register'!$D$4:$D$203,$J160)&amp;"")</f>
      </c>
      <c r="E160" s="18">
        <f>IF($J160="","",INDEX('2. Fee register'!$E$4:$E$203,$J160)&amp;"")</f>
      </c>
      <c r="F160" s="19">
        <f>IF($J160="","",INDEX('2. Fee register'!$J$4:$J$203,$J160))</f>
      </c>
      <c r="G160" s="18">
        <f>IF($J160="","",INDEX('2. Fee register'!$K$4:$K$203,$J160)&amp;"")</f>
      </c>
      <c r="H160" s="20">
        <f>IF($J160="","",IF(INDEX('2. Fee register'!$L$4:$L$203,$J160)="","",INDEX('2. Fee register'!$L$4:$L$203,$J160)))</f>
      </c>
      <c r="I160" s="18">
        <f>IF($J160="","",INDEX('2. Fee register'!$M$4:$M$203,$J160)&amp;"")</f>
      </c>
      <c r="J160">
        <f>IFERROR(MATCH(151,'2. Fee register'!$O$4:$O$203,0),"")</f>
      </c>
    </row>
    <row r="161" spans="1:10" x14ac:dyDescent="0.25">
      <c r="A161" s="18">
        <f>IF($J161="","",152)</f>
      </c>
      <c r="B161" s="18">
        <f>IF($J161="","",INDEX('2. Fee register'!$A$4:$A$203,$J161)&amp;"")</f>
      </c>
      <c r="C161" s="18">
        <f>IF($J161="","",INDEX('2. Fee register'!$B$4:$B$203,$J161)&amp;"")</f>
      </c>
      <c r="D161" s="18">
        <f>IF($J161="","",INDEX('2. Fee register'!$D$4:$D$203,$J161)&amp;"")</f>
      </c>
      <c r="E161" s="18">
        <f>IF($J161="","",INDEX('2. Fee register'!$E$4:$E$203,$J161)&amp;"")</f>
      </c>
      <c r="F161" s="19">
        <f>IF($J161="","",INDEX('2. Fee register'!$J$4:$J$203,$J161))</f>
      </c>
      <c r="G161" s="18">
        <f>IF($J161="","",INDEX('2. Fee register'!$K$4:$K$203,$J161)&amp;"")</f>
      </c>
      <c r="H161" s="20">
        <f>IF($J161="","",IF(INDEX('2. Fee register'!$L$4:$L$203,$J161)="","",INDEX('2. Fee register'!$L$4:$L$203,$J161)))</f>
      </c>
      <c r="I161" s="18">
        <f>IF($J161="","",INDEX('2. Fee register'!$M$4:$M$203,$J161)&amp;"")</f>
      </c>
      <c r="J161">
        <f>IFERROR(MATCH(152,'2. Fee register'!$O$4:$O$203,0),"")</f>
      </c>
    </row>
    <row r="162" spans="1:10" x14ac:dyDescent="0.25">
      <c r="A162" s="18">
        <f>IF($J162="","",153)</f>
      </c>
      <c r="B162" s="18">
        <f>IF($J162="","",INDEX('2. Fee register'!$A$4:$A$203,$J162)&amp;"")</f>
      </c>
      <c r="C162" s="18">
        <f>IF($J162="","",INDEX('2. Fee register'!$B$4:$B$203,$J162)&amp;"")</f>
      </c>
      <c r="D162" s="18">
        <f>IF($J162="","",INDEX('2. Fee register'!$D$4:$D$203,$J162)&amp;"")</f>
      </c>
      <c r="E162" s="18">
        <f>IF($J162="","",INDEX('2. Fee register'!$E$4:$E$203,$J162)&amp;"")</f>
      </c>
      <c r="F162" s="19">
        <f>IF($J162="","",INDEX('2. Fee register'!$J$4:$J$203,$J162))</f>
      </c>
      <c r="G162" s="18">
        <f>IF($J162="","",INDEX('2. Fee register'!$K$4:$K$203,$J162)&amp;"")</f>
      </c>
      <c r="H162" s="20">
        <f>IF($J162="","",IF(INDEX('2. Fee register'!$L$4:$L$203,$J162)="","",INDEX('2. Fee register'!$L$4:$L$203,$J162)))</f>
      </c>
      <c r="I162" s="18">
        <f>IF($J162="","",INDEX('2. Fee register'!$M$4:$M$203,$J162)&amp;"")</f>
      </c>
      <c r="J162">
        <f>IFERROR(MATCH(153,'2. Fee register'!$O$4:$O$203,0),"")</f>
      </c>
    </row>
    <row r="163" spans="1:10" x14ac:dyDescent="0.25">
      <c r="A163" s="18">
        <f>IF($J163="","",154)</f>
      </c>
      <c r="B163" s="18">
        <f>IF($J163="","",INDEX('2. Fee register'!$A$4:$A$203,$J163)&amp;"")</f>
      </c>
      <c r="C163" s="18">
        <f>IF($J163="","",INDEX('2. Fee register'!$B$4:$B$203,$J163)&amp;"")</f>
      </c>
      <c r="D163" s="18">
        <f>IF($J163="","",INDEX('2. Fee register'!$D$4:$D$203,$J163)&amp;"")</f>
      </c>
      <c r="E163" s="18">
        <f>IF($J163="","",INDEX('2. Fee register'!$E$4:$E$203,$J163)&amp;"")</f>
      </c>
      <c r="F163" s="19">
        <f>IF($J163="","",INDEX('2. Fee register'!$J$4:$J$203,$J163))</f>
      </c>
      <c r="G163" s="18">
        <f>IF($J163="","",INDEX('2. Fee register'!$K$4:$K$203,$J163)&amp;"")</f>
      </c>
      <c r="H163" s="20">
        <f>IF($J163="","",IF(INDEX('2. Fee register'!$L$4:$L$203,$J163)="","",INDEX('2. Fee register'!$L$4:$L$203,$J163)))</f>
      </c>
      <c r="I163" s="18">
        <f>IF($J163="","",INDEX('2. Fee register'!$M$4:$M$203,$J163)&amp;"")</f>
      </c>
      <c r="J163">
        <f>IFERROR(MATCH(154,'2. Fee register'!$O$4:$O$203,0),"")</f>
      </c>
    </row>
    <row r="164" spans="1:10" x14ac:dyDescent="0.25">
      <c r="A164" s="18">
        <f>IF($J164="","",155)</f>
      </c>
      <c r="B164" s="18">
        <f>IF($J164="","",INDEX('2. Fee register'!$A$4:$A$203,$J164)&amp;"")</f>
      </c>
      <c r="C164" s="18">
        <f>IF($J164="","",INDEX('2. Fee register'!$B$4:$B$203,$J164)&amp;"")</f>
      </c>
      <c r="D164" s="18">
        <f>IF($J164="","",INDEX('2. Fee register'!$D$4:$D$203,$J164)&amp;"")</f>
      </c>
      <c r="E164" s="18">
        <f>IF($J164="","",INDEX('2. Fee register'!$E$4:$E$203,$J164)&amp;"")</f>
      </c>
      <c r="F164" s="19">
        <f>IF($J164="","",INDEX('2. Fee register'!$J$4:$J$203,$J164))</f>
      </c>
      <c r="G164" s="18">
        <f>IF($J164="","",INDEX('2. Fee register'!$K$4:$K$203,$J164)&amp;"")</f>
      </c>
      <c r="H164" s="20">
        <f>IF($J164="","",IF(INDEX('2. Fee register'!$L$4:$L$203,$J164)="","",INDEX('2. Fee register'!$L$4:$L$203,$J164)))</f>
      </c>
      <c r="I164" s="18">
        <f>IF($J164="","",INDEX('2. Fee register'!$M$4:$M$203,$J164)&amp;"")</f>
      </c>
      <c r="J164">
        <f>IFERROR(MATCH(155,'2. Fee register'!$O$4:$O$203,0),"")</f>
      </c>
    </row>
    <row r="165" spans="1:10" x14ac:dyDescent="0.25">
      <c r="A165" s="18">
        <f>IF($J165="","",156)</f>
      </c>
      <c r="B165" s="18">
        <f>IF($J165="","",INDEX('2. Fee register'!$A$4:$A$203,$J165)&amp;"")</f>
      </c>
      <c r="C165" s="18">
        <f>IF($J165="","",INDEX('2. Fee register'!$B$4:$B$203,$J165)&amp;"")</f>
      </c>
      <c r="D165" s="18">
        <f>IF($J165="","",INDEX('2. Fee register'!$D$4:$D$203,$J165)&amp;"")</f>
      </c>
      <c r="E165" s="18">
        <f>IF($J165="","",INDEX('2. Fee register'!$E$4:$E$203,$J165)&amp;"")</f>
      </c>
      <c r="F165" s="19">
        <f>IF($J165="","",INDEX('2. Fee register'!$J$4:$J$203,$J165))</f>
      </c>
      <c r="G165" s="18">
        <f>IF($J165="","",INDEX('2. Fee register'!$K$4:$K$203,$J165)&amp;"")</f>
      </c>
      <c r="H165" s="20">
        <f>IF($J165="","",IF(INDEX('2. Fee register'!$L$4:$L$203,$J165)="","",INDEX('2. Fee register'!$L$4:$L$203,$J165)))</f>
      </c>
      <c r="I165" s="18">
        <f>IF($J165="","",INDEX('2. Fee register'!$M$4:$M$203,$J165)&amp;"")</f>
      </c>
      <c r="J165">
        <f>IFERROR(MATCH(156,'2. Fee register'!$O$4:$O$203,0),"")</f>
      </c>
    </row>
    <row r="166" spans="1:10" x14ac:dyDescent="0.25">
      <c r="A166" s="18">
        <f>IF($J166="","",157)</f>
      </c>
      <c r="B166" s="18">
        <f>IF($J166="","",INDEX('2. Fee register'!$A$4:$A$203,$J166)&amp;"")</f>
      </c>
      <c r="C166" s="18">
        <f>IF($J166="","",INDEX('2. Fee register'!$B$4:$B$203,$J166)&amp;"")</f>
      </c>
      <c r="D166" s="18">
        <f>IF($J166="","",INDEX('2. Fee register'!$D$4:$D$203,$J166)&amp;"")</f>
      </c>
      <c r="E166" s="18">
        <f>IF($J166="","",INDEX('2. Fee register'!$E$4:$E$203,$J166)&amp;"")</f>
      </c>
      <c r="F166" s="19">
        <f>IF($J166="","",INDEX('2. Fee register'!$J$4:$J$203,$J166))</f>
      </c>
      <c r="G166" s="18">
        <f>IF($J166="","",INDEX('2. Fee register'!$K$4:$K$203,$J166)&amp;"")</f>
      </c>
      <c r="H166" s="20">
        <f>IF($J166="","",IF(INDEX('2. Fee register'!$L$4:$L$203,$J166)="","",INDEX('2. Fee register'!$L$4:$L$203,$J166)))</f>
      </c>
      <c r="I166" s="18">
        <f>IF($J166="","",INDEX('2. Fee register'!$M$4:$M$203,$J166)&amp;"")</f>
      </c>
      <c r="J166">
        <f>IFERROR(MATCH(157,'2. Fee register'!$O$4:$O$203,0),"")</f>
      </c>
    </row>
    <row r="167" spans="1:10" x14ac:dyDescent="0.25">
      <c r="A167" s="18">
        <f>IF($J167="","",158)</f>
      </c>
      <c r="B167" s="18">
        <f>IF($J167="","",INDEX('2. Fee register'!$A$4:$A$203,$J167)&amp;"")</f>
      </c>
      <c r="C167" s="18">
        <f>IF($J167="","",INDEX('2. Fee register'!$B$4:$B$203,$J167)&amp;"")</f>
      </c>
      <c r="D167" s="18">
        <f>IF($J167="","",INDEX('2. Fee register'!$D$4:$D$203,$J167)&amp;"")</f>
      </c>
      <c r="E167" s="18">
        <f>IF($J167="","",INDEX('2. Fee register'!$E$4:$E$203,$J167)&amp;"")</f>
      </c>
      <c r="F167" s="19">
        <f>IF($J167="","",INDEX('2. Fee register'!$J$4:$J$203,$J167))</f>
      </c>
      <c r="G167" s="18">
        <f>IF($J167="","",INDEX('2. Fee register'!$K$4:$K$203,$J167)&amp;"")</f>
      </c>
      <c r="H167" s="20">
        <f>IF($J167="","",IF(INDEX('2. Fee register'!$L$4:$L$203,$J167)="","",INDEX('2. Fee register'!$L$4:$L$203,$J167)))</f>
      </c>
      <c r="I167" s="18">
        <f>IF($J167="","",INDEX('2. Fee register'!$M$4:$M$203,$J167)&amp;"")</f>
      </c>
      <c r="J167">
        <f>IFERROR(MATCH(158,'2. Fee register'!$O$4:$O$203,0),"")</f>
      </c>
    </row>
    <row r="168" spans="1:10" x14ac:dyDescent="0.25">
      <c r="A168" s="18">
        <f>IF($J168="","",159)</f>
      </c>
      <c r="B168" s="18">
        <f>IF($J168="","",INDEX('2. Fee register'!$A$4:$A$203,$J168)&amp;"")</f>
      </c>
      <c r="C168" s="18">
        <f>IF($J168="","",INDEX('2. Fee register'!$B$4:$B$203,$J168)&amp;"")</f>
      </c>
      <c r="D168" s="18">
        <f>IF($J168="","",INDEX('2. Fee register'!$D$4:$D$203,$J168)&amp;"")</f>
      </c>
      <c r="E168" s="18">
        <f>IF($J168="","",INDEX('2. Fee register'!$E$4:$E$203,$J168)&amp;"")</f>
      </c>
      <c r="F168" s="19">
        <f>IF($J168="","",INDEX('2. Fee register'!$J$4:$J$203,$J168))</f>
      </c>
      <c r="G168" s="18">
        <f>IF($J168="","",INDEX('2. Fee register'!$K$4:$K$203,$J168)&amp;"")</f>
      </c>
      <c r="H168" s="20">
        <f>IF($J168="","",IF(INDEX('2. Fee register'!$L$4:$L$203,$J168)="","",INDEX('2. Fee register'!$L$4:$L$203,$J168)))</f>
      </c>
      <c r="I168" s="18">
        <f>IF($J168="","",INDEX('2. Fee register'!$M$4:$M$203,$J168)&amp;"")</f>
      </c>
      <c r="J168">
        <f>IFERROR(MATCH(159,'2. Fee register'!$O$4:$O$203,0),"")</f>
      </c>
    </row>
    <row r="169" spans="1:10" x14ac:dyDescent="0.25">
      <c r="A169" s="18">
        <f>IF($J169="","",160)</f>
      </c>
      <c r="B169" s="18">
        <f>IF($J169="","",INDEX('2. Fee register'!$A$4:$A$203,$J169)&amp;"")</f>
      </c>
      <c r="C169" s="18">
        <f>IF($J169="","",INDEX('2. Fee register'!$B$4:$B$203,$J169)&amp;"")</f>
      </c>
      <c r="D169" s="18">
        <f>IF($J169="","",INDEX('2. Fee register'!$D$4:$D$203,$J169)&amp;"")</f>
      </c>
      <c r="E169" s="18">
        <f>IF($J169="","",INDEX('2. Fee register'!$E$4:$E$203,$J169)&amp;"")</f>
      </c>
      <c r="F169" s="19">
        <f>IF($J169="","",INDEX('2. Fee register'!$J$4:$J$203,$J169))</f>
      </c>
      <c r="G169" s="18">
        <f>IF($J169="","",INDEX('2. Fee register'!$K$4:$K$203,$J169)&amp;"")</f>
      </c>
      <c r="H169" s="20">
        <f>IF($J169="","",IF(INDEX('2. Fee register'!$L$4:$L$203,$J169)="","",INDEX('2. Fee register'!$L$4:$L$203,$J169)))</f>
      </c>
      <c r="I169" s="18">
        <f>IF($J169="","",INDEX('2. Fee register'!$M$4:$M$203,$J169)&amp;"")</f>
      </c>
      <c r="J169">
        <f>IFERROR(MATCH(160,'2. Fee register'!$O$4:$O$203,0),"")</f>
      </c>
    </row>
    <row r="170" spans="1:10" x14ac:dyDescent="0.25">
      <c r="A170" s="18">
        <f>IF($J170="","",161)</f>
      </c>
      <c r="B170" s="18">
        <f>IF($J170="","",INDEX('2. Fee register'!$A$4:$A$203,$J170)&amp;"")</f>
      </c>
      <c r="C170" s="18">
        <f>IF($J170="","",INDEX('2. Fee register'!$B$4:$B$203,$J170)&amp;"")</f>
      </c>
      <c r="D170" s="18">
        <f>IF($J170="","",INDEX('2. Fee register'!$D$4:$D$203,$J170)&amp;"")</f>
      </c>
      <c r="E170" s="18">
        <f>IF($J170="","",INDEX('2. Fee register'!$E$4:$E$203,$J170)&amp;"")</f>
      </c>
      <c r="F170" s="19">
        <f>IF($J170="","",INDEX('2. Fee register'!$J$4:$J$203,$J170))</f>
      </c>
      <c r="G170" s="18">
        <f>IF($J170="","",INDEX('2. Fee register'!$K$4:$K$203,$J170)&amp;"")</f>
      </c>
      <c r="H170" s="20">
        <f>IF($J170="","",IF(INDEX('2. Fee register'!$L$4:$L$203,$J170)="","",INDEX('2. Fee register'!$L$4:$L$203,$J170)))</f>
      </c>
      <c r="I170" s="18">
        <f>IF($J170="","",INDEX('2. Fee register'!$M$4:$M$203,$J170)&amp;"")</f>
      </c>
      <c r="J170">
        <f>IFERROR(MATCH(161,'2. Fee register'!$O$4:$O$203,0),"")</f>
      </c>
    </row>
    <row r="171" spans="1:10" x14ac:dyDescent="0.25">
      <c r="A171" s="18">
        <f>IF($J171="","",162)</f>
      </c>
      <c r="B171" s="18">
        <f>IF($J171="","",INDEX('2. Fee register'!$A$4:$A$203,$J171)&amp;"")</f>
      </c>
      <c r="C171" s="18">
        <f>IF($J171="","",INDEX('2. Fee register'!$B$4:$B$203,$J171)&amp;"")</f>
      </c>
      <c r="D171" s="18">
        <f>IF($J171="","",INDEX('2. Fee register'!$D$4:$D$203,$J171)&amp;"")</f>
      </c>
      <c r="E171" s="18">
        <f>IF($J171="","",INDEX('2. Fee register'!$E$4:$E$203,$J171)&amp;"")</f>
      </c>
      <c r="F171" s="19">
        <f>IF($J171="","",INDEX('2. Fee register'!$J$4:$J$203,$J171))</f>
      </c>
      <c r="G171" s="18">
        <f>IF($J171="","",INDEX('2. Fee register'!$K$4:$K$203,$J171)&amp;"")</f>
      </c>
      <c r="H171" s="20">
        <f>IF($J171="","",IF(INDEX('2. Fee register'!$L$4:$L$203,$J171)="","",INDEX('2. Fee register'!$L$4:$L$203,$J171)))</f>
      </c>
      <c r="I171" s="18">
        <f>IF($J171="","",INDEX('2. Fee register'!$M$4:$M$203,$J171)&amp;"")</f>
      </c>
      <c r="J171">
        <f>IFERROR(MATCH(162,'2. Fee register'!$O$4:$O$203,0),"")</f>
      </c>
    </row>
    <row r="172" spans="1:10" x14ac:dyDescent="0.25">
      <c r="A172" s="18">
        <f>IF($J172="","",163)</f>
      </c>
      <c r="B172" s="18">
        <f>IF($J172="","",INDEX('2. Fee register'!$A$4:$A$203,$J172)&amp;"")</f>
      </c>
      <c r="C172" s="18">
        <f>IF($J172="","",INDEX('2. Fee register'!$B$4:$B$203,$J172)&amp;"")</f>
      </c>
      <c r="D172" s="18">
        <f>IF($J172="","",INDEX('2. Fee register'!$D$4:$D$203,$J172)&amp;"")</f>
      </c>
      <c r="E172" s="18">
        <f>IF($J172="","",INDEX('2. Fee register'!$E$4:$E$203,$J172)&amp;"")</f>
      </c>
      <c r="F172" s="19">
        <f>IF($J172="","",INDEX('2. Fee register'!$J$4:$J$203,$J172))</f>
      </c>
      <c r="G172" s="18">
        <f>IF($J172="","",INDEX('2. Fee register'!$K$4:$K$203,$J172)&amp;"")</f>
      </c>
      <c r="H172" s="20">
        <f>IF($J172="","",IF(INDEX('2. Fee register'!$L$4:$L$203,$J172)="","",INDEX('2. Fee register'!$L$4:$L$203,$J172)))</f>
      </c>
      <c r="I172" s="18">
        <f>IF($J172="","",INDEX('2. Fee register'!$M$4:$M$203,$J172)&amp;"")</f>
      </c>
      <c r="J172">
        <f>IFERROR(MATCH(163,'2. Fee register'!$O$4:$O$203,0),"")</f>
      </c>
    </row>
    <row r="173" spans="1:10" x14ac:dyDescent="0.25">
      <c r="A173" s="18">
        <f>IF($J173="","",164)</f>
      </c>
      <c r="B173" s="18">
        <f>IF($J173="","",INDEX('2. Fee register'!$A$4:$A$203,$J173)&amp;"")</f>
      </c>
      <c r="C173" s="18">
        <f>IF($J173="","",INDEX('2. Fee register'!$B$4:$B$203,$J173)&amp;"")</f>
      </c>
      <c r="D173" s="18">
        <f>IF($J173="","",INDEX('2. Fee register'!$D$4:$D$203,$J173)&amp;"")</f>
      </c>
      <c r="E173" s="18">
        <f>IF($J173="","",INDEX('2. Fee register'!$E$4:$E$203,$J173)&amp;"")</f>
      </c>
      <c r="F173" s="19">
        <f>IF($J173="","",INDEX('2. Fee register'!$J$4:$J$203,$J173))</f>
      </c>
      <c r="G173" s="18">
        <f>IF($J173="","",INDEX('2. Fee register'!$K$4:$K$203,$J173)&amp;"")</f>
      </c>
      <c r="H173" s="20">
        <f>IF($J173="","",IF(INDEX('2. Fee register'!$L$4:$L$203,$J173)="","",INDEX('2. Fee register'!$L$4:$L$203,$J173)))</f>
      </c>
      <c r="I173" s="18">
        <f>IF($J173="","",INDEX('2. Fee register'!$M$4:$M$203,$J173)&amp;"")</f>
      </c>
      <c r="J173">
        <f>IFERROR(MATCH(164,'2. Fee register'!$O$4:$O$203,0),"")</f>
      </c>
    </row>
    <row r="174" spans="1:10" x14ac:dyDescent="0.25">
      <c r="A174" s="18">
        <f>IF($J174="","",165)</f>
      </c>
      <c r="B174" s="18">
        <f>IF($J174="","",INDEX('2. Fee register'!$A$4:$A$203,$J174)&amp;"")</f>
      </c>
      <c r="C174" s="18">
        <f>IF($J174="","",INDEX('2. Fee register'!$B$4:$B$203,$J174)&amp;"")</f>
      </c>
      <c r="D174" s="18">
        <f>IF($J174="","",INDEX('2. Fee register'!$D$4:$D$203,$J174)&amp;"")</f>
      </c>
      <c r="E174" s="18">
        <f>IF($J174="","",INDEX('2. Fee register'!$E$4:$E$203,$J174)&amp;"")</f>
      </c>
      <c r="F174" s="19">
        <f>IF($J174="","",INDEX('2. Fee register'!$J$4:$J$203,$J174))</f>
      </c>
      <c r="G174" s="18">
        <f>IF($J174="","",INDEX('2. Fee register'!$K$4:$K$203,$J174)&amp;"")</f>
      </c>
      <c r="H174" s="20">
        <f>IF($J174="","",IF(INDEX('2. Fee register'!$L$4:$L$203,$J174)="","",INDEX('2. Fee register'!$L$4:$L$203,$J174)))</f>
      </c>
      <c r="I174" s="18">
        <f>IF($J174="","",INDEX('2. Fee register'!$M$4:$M$203,$J174)&amp;"")</f>
      </c>
      <c r="J174">
        <f>IFERROR(MATCH(165,'2. Fee register'!$O$4:$O$203,0),"")</f>
      </c>
    </row>
    <row r="175" spans="1:10" x14ac:dyDescent="0.25">
      <c r="A175" s="18">
        <f>IF($J175="","",166)</f>
      </c>
      <c r="B175" s="18">
        <f>IF($J175="","",INDEX('2. Fee register'!$A$4:$A$203,$J175)&amp;"")</f>
      </c>
      <c r="C175" s="18">
        <f>IF($J175="","",INDEX('2. Fee register'!$B$4:$B$203,$J175)&amp;"")</f>
      </c>
      <c r="D175" s="18">
        <f>IF($J175="","",INDEX('2. Fee register'!$D$4:$D$203,$J175)&amp;"")</f>
      </c>
      <c r="E175" s="18">
        <f>IF($J175="","",INDEX('2. Fee register'!$E$4:$E$203,$J175)&amp;"")</f>
      </c>
      <c r="F175" s="19">
        <f>IF($J175="","",INDEX('2. Fee register'!$J$4:$J$203,$J175))</f>
      </c>
      <c r="G175" s="18">
        <f>IF($J175="","",INDEX('2. Fee register'!$K$4:$K$203,$J175)&amp;"")</f>
      </c>
      <c r="H175" s="20">
        <f>IF($J175="","",IF(INDEX('2. Fee register'!$L$4:$L$203,$J175)="","",INDEX('2. Fee register'!$L$4:$L$203,$J175)))</f>
      </c>
      <c r="I175" s="18">
        <f>IF($J175="","",INDEX('2. Fee register'!$M$4:$M$203,$J175)&amp;"")</f>
      </c>
      <c r="J175">
        <f>IFERROR(MATCH(166,'2. Fee register'!$O$4:$O$203,0),"")</f>
      </c>
    </row>
    <row r="176" spans="1:10" x14ac:dyDescent="0.25">
      <c r="A176" s="18">
        <f>IF($J176="","",167)</f>
      </c>
      <c r="B176" s="18">
        <f>IF($J176="","",INDEX('2. Fee register'!$A$4:$A$203,$J176)&amp;"")</f>
      </c>
      <c r="C176" s="18">
        <f>IF($J176="","",INDEX('2. Fee register'!$B$4:$B$203,$J176)&amp;"")</f>
      </c>
      <c r="D176" s="18">
        <f>IF($J176="","",INDEX('2. Fee register'!$D$4:$D$203,$J176)&amp;"")</f>
      </c>
      <c r="E176" s="18">
        <f>IF($J176="","",INDEX('2. Fee register'!$E$4:$E$203,$J176)&amp;"")</f>
      </c>
      <c r="F176" s="19">
        <f>IF($J176="","",INDEX('2. Fee register'!$J$4:$J$203,$J176))</f>
      </c>
      <c r="G176" s="18">
        <f>IF($J176="","",INDEX('2. Fee register'!$K$4:$K$203,$J176)&amp;"")</f>
      </c>
      <c r="H176" s="20">
        <f>IF($J176="","",IF(INDEX('2. Fee register'!$L$4:$L$203,$J176)="","",INDEX('2. Fee register'!$L$4:$L$203,$J176)))</f>
      </c>
      <c r="I176" s="18">
        <f>IF($J176="","",INDEX('2. Fee register'!$M$4:$M$203,$J176)&amp;"")</f>
      </c>
      <c r="J176">
        <f>IFERROR(MATCH(167,'2. Fee register'!$O$4:$O$203,0),"")</f>
      </c>
    </row>
    <row r="177" spans="1:10" x14ac:dyDescent="0.25">
      <c r="A177" s="18">
        <f>IF($J177="","",168)</f>
      </c>
      <c r="B177" s="18">
        <f>IF($J177="","",INDEX('2. Fee register'!$A$4:$A$203,$J177)&amp;"")</f>
      </c>
      <c r="C177" s="18">
        <f>IF($J177="","",INDEX('2. Fee register'!$B$4:$B$203,$J177)&amp;"")</f>
      </c>
      <c r="D177" s="18">
        <f>IF($J177="","",INDEX('2. Fee register'!$D$4:$D$203,$J177)&amp;"")</f>
      </c>
      <c r="E177" s="18">
        <f>IF($J177="","",INDEX('2. Fee register'!$E$4:$E$203,$J177)&amp;"")</f>
      </c>
      <c r="F177" s="19">
        <f>IF($J177="","",INDEX('2. Fee register'!$J$4:$J$203,$J177))</f>
      </c>
      <c r="G177" s="18">
        <f>IF($J177="","",INDEX('2. Fee register'!$K$4:$K$203,$J177)&amp;"")</f>
      </c>
      <c r="H177" s="20">
        <f>IF($J177="","",IF(INDEX('2. Fee register'!$L$4:$L$203,$J177)="","",INDEX('2. Fee register'!$L$4:$L$203,$J177)))</f>
      </c>
      <c r="I177" s="18">
        <f>IF($J177="","",INDEX('2. Fee register'!$M$4:$M$203,$J177)&amp;"")</f>
      </c>
      <c r="J177">
        <f>IFERROR(MATCH(168,'2. Fee register'!$O$4:$O$203,0),"")</f>
      </c>
    </row>
    <row r="178" spans="1:10" x14ac:dyDescent="0.25">
      <c r="A178" s="18">
        <f>IF($J178="","",169)</f>
      </c>
      <c r="B178" s="18">
        <f>IF($J178="","",INDEX('2. Fee register'!$A$4:$A$203,$J178)&amp;"")</f>
      </c>
      <c r="C178" s="18">
        <f>IF($J178="","",INDEX('2. Fee register'!$B$4:$B$203,$J178)&amp;"")</f>
      </c>
      <c r="D178" s="18">
        <f>IF($J178="","",INDEX('2. Fee register'!$D$4:$D$203,$J178)&amp;"")</f>
      </c>
      <c r="E178" s="18">
        <f>IF($J178="","",INDEX('2. Fee register'!$E$4:$E$203,$J178)&amp;"")</f>
      </c>
      <c r="F178" s="19">
        <f>IF($J178="","",INDEX('2. Fee register'!$J$4:$J$203,$J178))</f>
      </c>
      <c r="G178" s="18">
        <f>IF($J178="","",INDEX('2. Fee register'!$K$4:$K$203,$J178)&amp;"")</f>
      </c>
      <c r="H178" s="20">
        <f>IF($J178="","",IF(INDEX('2. Fee register'!$L$4:$L$203,$J178)="","",INDEX('2. Fee register'!$L$4:$L$203,$J178)))</f>
      </c>
      <c r="I178" s="18">
        <f>IF($J178="","",INDEX('2. Fee register'!$M$4:$M$203,$J178)&amp;"")</f>
      </c>
      <c r="J178">
        <f>IFERROR(MATCH(169,'2. Fee register'!$O$4:$O$203,0),"")</f>
      </c>
    </row>
    <row r="179" spans="1:10" x14ac:dyDescent="0.25">
      <c r="A179" s="18">
        <f>IF($J179="","",170)</f>
      </c>
      <c r="B179" s="18">
        <f>IF($J179="","",INDEX('2. Fee register'!$A$4:$A$203,$J179)&amp;"")</f>
      </c>
      <c r="C179" s="18">
        <f>IF($J179="","",INDEX('2. Fee register'!$B$4:$B$203,$J179)&amp;"")</f>
      </c>
      <c r="D179" s="18">
        <f>IF($J179="","",INDEX('2. Fee register'!$D$4:$D$203,$J179)&amp;"")</f>
      </c>
      <c r="E179" s="18">
        <f>IF($J179="","",INDEX('2. Fee register'!$E$4:$E$203,$J179)&amp;"")</f>
      </c>
      <c r="F179" s="19">
        <f>IF($J179="","",INDEX('2. Fee register'!$J$4:$J$203,$J179))</f>
      </c>
      <c r="G179" s="18">
        <f>IF($J179="","",INDEX('2. Fee register'!$K$4:$K$203,$J179)&amp;"")</f>
      </c>
      <c r="H179" s="20">
        <f>IF($J179="","",IF(INDEX('2. Fee register'!$L$4:$L$203,$J179)="","",INDEX('2. Fee register'!$L$4:$L$203,$J179)))</f>
      </c>
      <c r="I179" s="18">
        <f>IF($J179="","",INDEX('2. Fee register'!$M$4:$M$203,$J179)&amp;"")</f>
      </c>
      <c r="J179">
        <f>IFERROR(MATCH(170,'2. Fee register'!$O$4:$O$203,0),"")</f>
      </c>
    </row>
    <row r="180" spans="1:10" x14ac:dyDescent="0.25">
      <c r="A180" s="18">
        <f>IF($J180="","",171)</f>
      </c>
      <c r="B180" s="18">
        <f>IF($J180="","",INDEX('2. Fee register'!$A$4:$A$203,$J180)&amp;"")</f>
      </c>
      <c r="C180" s="18">
        <f>IF($J180="","",INDEX('2. Fee register'!$B$4:$B$203,$J180)&amp;"")</f>
      </c>
      <c r="D180" s="18">
        <f>IF($J180="","",INDEX('2. Fee register'!$D$4:$D$203,$J180)&amp;"")</f>
      </c>
      <c r="E180" s="18">
        <f>IF($J180="","",INDEX('2. Fee register'!$E$4:$E$203,$J180)&amp;"")</f>
      </c>
      <c r="F180" s="19">
        <f>IF($J180="","",INDEX('2. Fee register'!$J$4:$J$203,$J180))</f>
      </c>
      <c r="G180" s="18">
        <f>IF($J180="","",INDEX('2. Fee register'!$K$4:$K$203,$J180)&amp;"")</f>
      </c>
      <c r="H180" s="20">
        <f>IF($J180="","",IF(INDEX('2. Fee register'!$L$4:$L$203,$J180)="","",INDEX('2. Fee register'!$L$4:$L$203,$J180)))</f>
      </c>
      <c r="I180" s="18">
        <f>IF($J180="","",INDEX('2. Fee register'!$M$4:$M$203,$J180)&amp;"")</f>
      </c>
      <c r="J180">
        <f>IFERROR(MATCH(171,'2. Fee register'!$O$4:$O$203,0),"")</f>
      </c>
    </row>
    <row r="181" spans="1:10" x14ac:dyDescent="0.25">
      <c r="A181" s="18">
        <f>IF($J181="","",172)</f>
      </c>
      <c r="B181" s="18">
        <f>IF($J181="","",INDEX('2. Fee register'!$A$4:$A$203,$J181)&amp;"")</f>
      </c>
      <c r="C181" s="18">
        <f>IF($J181="","",INDEX('2. Fee register'!$B$4:$B$203,$J181)&amp;"")</f>
      </c>
      <c r="D181" s="18">
        <f>IF($J181="","",INDEX('2. Fee register'!$D$4:$D$203,$J181)&amp;"")</f>
      </c>
      <c r="E181" s="18">
        <f>IF($J181="","",INDEX('2. Fee register'!$E$4:$E$203,$J181)&amp;"")</f>
      </c>
      <c r="F181" s="19">
        <f>IF($J181="","",INDEX('2. Fee register'!$J$4:$J$203,$J181))</f>
      </c>
      <c r="G181" s="18">
        <f>IF($J181="","",INDEX('2. Fee register'!$K$4:$K$203,$J181)&amp;"")</f>
      </c>
      <c r="H181" s="20">
        <f>IF($J181="","",IF(INDEX('2. Fee register'!$L$4:$L$203,$J181)="","",INDEX('2. Fee register'!$L$4:$L$203,$J181)))</f>
      </c>
      <c r="I181" s="18">
        <f>IF($J181="","",INDEX('2. Fee register'!$M$4:$M$203,$J181)&amp;"")</f>
      </c>
      <c r="J181">
        <f>IFERROR(MATCH(172,'2. Fee register'!$O$4:$O$203,0),"")</f>
      </c>
    </row>
    <row r="182" spans="1:10" x14ac:dyDescent="0.25">
      <c r="A182" s="18">
        <f>IF($J182="","",173)</f>
      </c>
      <c r="B182" s="18">
        <f>IF($J182="","",INDEX('2. Fee register'!$A$4:$A$203,$J182)&amp;"")</f>
      </c>
      <c r="C182" s="18">
        <f>IF($J182="","",INDEX('2. Fee register'!$B$4:$B$203,$J182)&amp;"")</f>
      </c>
      <c r="D182" s="18">
        <f>IF($J182="","",INDEX('2. Fee register'!$D$4:$D$203,$J182)&amp;"")</f>
      </c>
      <c r="E182" s="18">
        <f>IF($J182="","",INDEX('2. Fee register'!$E$4:$E$203,$J182)&amp;"")</f>
      </c>
      <c r="F182" s="19">
        <f>IF($J182="","",INDEX('2. Fee register'!$J$4:$J$203,$J182))</f>
      </c>
      <c r="G182" s="18">
        <f>IF($J182="","",INDEX('2. Fee register'!$K$4:$K$203,$J182)&amp;"")</f>
      </c>
      <c r="H182" s="20">
        <f>IF($J182="","",IF(INDEX('2. Fee register'!$L$4:$L$203,$J182)="","",INDEX('2. Fee register'!$L$4:$L$203,$J182)))</f>
      </c>
      <c r="I182" s="18">
        <f>IF($J182="","",INDEX('2. Fee register'!$M$4:$M$203,$J182)&amp;"")</f>
      </c>
      <c r="J182">
        <f>IFERROR(MATCH(173,'2. Fee register'!$O$4:$O$203,0),"")</f>
      </c>
    </row>
    <row r="183" spans="1:10" x14ac:dyDescent="0.25">
      <c r="A183" s="18">
        <f>IF($J183="","",174)</f>
      </c>
      <c r="B183" s="18">
        <f>IF($J183="","",INDEX('2. Fee register'!$A$4:$A$203,$J183)&amp;"")</f>
      </c>
      <c r="C183" s="18">
        <f>IF($J183="","",INDEX('2. Fee register'!$B$4:$B$203,$J183)&amp;"")</f>
      </c>
      <c r="D183" s="18">
        <f>IF($J183="","",INDEX('2. Fee register'!$D$4:$D$203,$J183)&amp;"")</f>
      </c>
      <c r="E183" s="18">
        <f>IF($J183="","",INDEX('2. Fee register'!$E$4:$E$203,$J183)&amp;"")</f>
      </c>
      <c r="F183" s="19">
        <f>IF($J183="","",INDEX('2. Fee register'!$J$4:$J$203,$J183))</f>
      </c>
      <c r="G183" s="18">
        <f>IF($J183="","",INDEX('2. Fee register'!$K$4:$K$203,$J183)&amp;"")</f>
      </c>
      <c r="H183" s="20">
        <f>IF($J183="","",IF(INDEX('2. Fee register'!$L$4:$L$203,$J183)="","",INDEX('2. Fee register'!$L$4:$L$203,$J183)))</f>
      </c>
      <c r="I183" s="18">
        <f>IF($J183="","",INDEX('2. Fee register'!$M$4:$M$203,$J183)&amp;"")</f>
      </c>
      <c r="J183">
        <f>IFERROR(MATCH(174,'2. Fee register'!$O$4:$O$203,0),"")</f>
      </c>
    </row>
    <row r="184" spans="1:10" x14ac:dyDescent="0.25">
      <c r="A184" s="18">
        <f>IF($J184="","",175)</f>
      </c>
      <c r="B184" s="18">
        <f>IF($J184="","",INDEX('2. Fee register'!$A$4:$A$203,$J184)&amp;"")</f>
      </c>
      <c r="C184" s="18">
        <f>IF($J184="","",INDEX('2. Fee register'!$B$4:$B$203,$J184)&amp;"")</f>
      </c>
      <c r="D184" s="18">
        <f>IF($J184="","",INDEX('2. Fee register'!$D$4:$D$203,$J184)&amp;"")</f>
      </c>
      <c r="E184" s="18">
        <f>IF($J184="","",INDEX('2. Fee register'!$E$4:$E$203,$J184)&amp;"")</f>
      </c>
      <c r="F184" s="19">
        <f>IF($J184="","",INDEX('2. Fee register'!$J$4:$J$203,$J184))</f>
      </c>
      <c r="G184" s="18">
        <f>IF($J184="","",INDEX('2. Fee register'!$K$4:$K$203,$J184)&amp;"")</f>
      </c>
      <c r="H184" s="20">
        <f>IF($J184="","",IF(INDEX('2. Fee register'!$L$4:$L$203,$J184)="","",INDEX('2. Fee register'!$L$4:$L$203,$J184)))</f>
      </c>
      <c r="I184" s="18">
        <f>IF($J184="","",INDEX('2. Fee register'!$M$4:$M$203,$J184)&amp;"")</f>
      </c>
      <c r="J184">
        <f>IFERROR(MATCH(175,'2. Fee register'!$O$4:$O$203,0),"")</f>
      </c>
    </row>
    <row r="185" spans="1:10" x14ac:dyDescent="0.25">
      <c r="A185" s="18">
        <f>IF($J185="","",176)</f>
      </c>
      <c r="B185" s="18">
        <f>IF($J185="","",INDEX('2. Fee register'!$A$4:$A$203,$J185)&amp;"")</f>
      </c>
      <c r="C185" s="18">
        <f>IF($J185="","",INDEX('2. Fee register'!$B$4:$B$203,$J185)&amp;"")</f>
      </c>
      <c r="D185" s="18">
        <f>IF($J185="","",INDEX('2. Fee register'!$D$4:$D$203,$J185)&amp;"")</f>
      </c>
      <c r="E185" s="18">
        <f>IF($J185="","",INDEX('2. Fee register'!$E$4:$E$203,$J185)&amp;"")</f>
      </c>
      <c r="F185" s="19">
        <f>IF($J185="","",INDEX('2. Fee register'!$J$4:$J$203,$J185))</f>
      </c>
      <c r="G185" s="18">
        <f>IF($J185="","",INDEX('2. Fee register'!$K$4:$K$203,$J185)&amp;"")</f>
      </c>
      <c r="H185" s="20">
        <f>IF($J185="","",IF(INDEX('2. Fee register'!$L$4:$L$203,$J185)="","",INDEX('2. Fee register'!$L$4:$L$203,$J185)))</f>
      </c>
      <c r="I185" s="18">
        <f>IF($J185="","",INDEX('2. Fee register'!$M$4:$M$203,$J185)&amp;"")</f>
      </c>
      <c r="J185">
        <f>IFERROR(MATCH(176,'2. Fee register'!$O$4:$O$203,0),"")</f>
      </c>
    </row>
    <row r="186" spans="1:10" x14ac:dyDescent="0.25">
      <c r="A186" s="18">
        <f>IF($J186="","",177)</f>
      </c>
      <c r="B186" s="18">
        <f>IF($J186="","",INDEX('2. Fee register'!$A$4:$A$203,$J186)&amp;"")</f>
      </c>
      <c r="C186" s="18">
        <f>IF($J186="","",INDEX('2. Fee register'!$B$4:$B$203,$J186)&amp;"")</f>
      </c>
      <c r="D186" s="18">
        <f>IF($J186="","",INDEX('2. Fee register'!$D$4:$D$203,$J186)&amp;"")</f>
      </c>
      <c r="E186" s="18">
        <f>IF($J186="","",INDEX('2. Fee register'!$E$4:$E$203,$J186)&amp;"")</f>
      </c>
      <c r="F186" s="19">
        <f>IF($J186="","",INDEX('2. Fee register'!$J$4:$J$203,$J186))</f>
      </c>
      <c r="G186" s="18">
        <f>IF($J186="","",INDEX('2. Fee register'!$K$4:$K$203,$J186)&amp;"")</f>
      </c>
      <c r="H186" s="20">
        <f>IF($J186="","",IF(INDEX('2. Fee register'!$L$4:$L$203,$J186)="","",INDEX('2. Fee register'!$L$4:$L$203,$J186)))</f>
      </c>
      <c r="I186" s="18">
        <f>IF($J186="","",INDEX('2. Fee register'!$M$4:$M$203,$J186)&amp;"")</f>
      </c>
      <c r="J186">
        <f>IFERROR(MATCH(177,'2. Fee register'!$O$4:$O$203,0),"")</f>
      </c>
    </row>
    <row r="187" spans="1:10" x14ac:dyDescent="0.25">
      <c r="A187" s="18">
        <f>IF($J187="","",178)</f>
      </c>
      <c r="B187" s="18">
        <f>IF($J187="","",INDEX('2. Fee register'!$A$4:$A$203,$J187)&amp;"")</f>
      </c>
      <c r="C187" s="18">
        <f>IF($J187="","",INDEX('2. Fee register'!$B$4:$B$203,$J187)&amp;"")</f>
      </c>
      <c r="D187" s="18">
        <f>IF($J187="","",INDEX('2. Fee register'!$D$4:$D$203,$J187)&amp;"")</f>
      </c>
      <c r="E187" s="18">
        <f>IF($J187="","",INDEX('2. Fee register'!$E$4:$E$203,$J187)&amp;"")</f>
      </c>
      <c r="F187" s="19">
        <f>IF($J187="","",INDEX('2. Fee register'!$J$4:$J$203,$J187))</f>
      </c>
      <c r="G187" s="18">
        <f>IF($J187="","",INDEX('2. Fee register'!$K$4:$K$203,$J187)&amp;"")</f>
      </c>
      <c r="H187" s="20">
        <f>IF($J187="","",IF(INDEX('2. Fee register'!$L$4:$L$203,$J187)="","",INDEX('2. Fee register'!$L$4:$L$203,$J187)))</f>
      </c>
      <c r="I187" s="18">
        <f>IF($J187="","",INDEX('2. Fee register'!$M$4:$M$203,$J187)&amp;"")</f>
      </c>
      <c r="J187">
        <f>IFERROR(MATCH(178,'2. Fee register'!$O$4:$O$203,0),"")</f>
      </c>
    </row>
    <row r="188" spans="1:10" x14ac:dyDescent="0.25">
      <c r="A188" s="18">
        <f>IF($J188="","",179)</f>
      </c>
      <c r="B188" s="18">
        <f>IF($J188="","",INDEX('2. Fee register'!$A$4:$A$203,$J188)&amp;"")</f>
      </c>
      <c r="C188" s="18">
        <f>IF($J188="","",INDEX('2. Fee register'!$B$4:$B$203,$J188)&amp;"")</f>
      </c>
      <c r="D188" s="18">
        <f>IF($J188="","",INDEX('2. Fee register'!$D$4:$D$203,$J188)&amp;"")</f>
      </c>
      <c r="E188" s="18">
        <f>IF($J188="","",INDEX('2. Fee register'!$E$4:$E$203,$J188)&amp;"")</f>
      </c>
      <c r="F188" s="19">
        <f>IF($J188="","",INDEX('2. Fee register'!$J$4:$J$203,$J188))</f>
      </c>
      <c r="G188" s="18">
        <f>IF($J188="","",INDEX('2. Fee register'!$K$4:$K$203,$J188)&amp;"")</f>
      </c>
      <c r="H188" s="20">
        <f>IF($J188="","",IF(INDEX('2. Fee register'!$L$4:$L$203,$J188)="","",INDEX('2. Fee register'!$L$4:$L$203,$J188)))</f>
      </c>
      <c r="I188" s="18">
        <f>IF($J188="","",INDEX('2. Fee register'!$M$4:$M$203,$J188)&amp;"")</f>
      </c>
      <c r="J188">
        <f>IFERROR(MATCH(179,'2. Fee register'!$O$4:$O$203,0),"")</f>
      </c>
    </row>
    <row r="189" spans="1:10" x14ac:dyDescent="0.25">
      <c r="A189" s="18">
        <f>IF($J189="","",180)</f>
      </c>
      <c r="B189" s="18">
        <f>IF($J189="","",INDEX('2. Fee register'!$A$4:$A$203,$J189)&amp;"")</f>
      </c>
      <c r="C189" s="18">
        <f>IF($J189="","",INDEX('2. Fee register'!$B$4:$B$203,$J189)&amp;"")</f>
      </c>
      <c r="D189" s="18">
        <f>IF($J189="","",INDEX('2. Fee register'!$D$4:$D$203,$J189)&amp;"")</f>
      </c>
      <c r="E189" s="18">
        <f>IF($J189="","",INDEX('2. Fee register'!$E$4:$E$203,$J189)&amp;"")</f>
      </c>
      <c r="F189" s="19">
        <f>IF($J189="","",INDEX('2. Fee register'!$J$4:$J$203,$J189))</f>
      </c>
      <c r="G189" s="18">
        <f>IF($J189="","",INDEX('2. Fee register'!$K$4:$K$203,$J189)&amp;"")</f>
      </c>
      <c r="H189" s="20">
        <f>IF($J189="","",IF(INDEX('2. Fee register'!$L$4:$L$203,$J189)="","",INDEX('2. Fee register'!$L$4:$L$203,$J189)))</f>
      </c>
      <c r="I189" s="18">
        <f>IF($J189="","",INDEX('2. Fee register'!$M$4:$M$203,$J189)&amp;"")</f>
      </c>
      <c r="J189">
        <f>IFERROR(MATCH(180,'2. Fee register'!$O$4:$O$203,0),"")</f>
      </c>
    </row>
    <row r="190" spans="1:10" x14ac:dyDescent="0.25">
      <c r="A190" s="18">
        <f>IF($J190="","",181)</f>
      </c>
      <c r="B190" s="18">
        <f>IF($J190="","",INDEX('2. Fee register'!$A$4:$A$203,$J190)&amp;"")</f>
      </c>
      <c r="C190" s="18">
        <f>IF($J190="","",INDEX('2. Fee register'!$B$4:$B$203,$J190)&amp;"")</f>
      </c>
      <c r="D190" s="18">
        <f>IF($J190="","",INDEX('2. Fee register'!$D$4:$D$203,$J190)&amp;"")</f>
      </c>
      <c r="E190" s="18">
        <f>IF($J190="","",INDEX('2. Fee register'!$E$4:$E$203,$J190)&amp;"")</f>
      </c>
      <c r="F190" s="19">
        <f>IF($J190="","",INDEX('2. Fee register'!$J$4:$J$203,$J190))</f>
      </c>
      <c r="G190" s="18">
        <f>IF($J190="","",INDEX('2. Fee register'!$K$4:$K$203,$J190)&amp;"")</f>
      </c>
      <c r="H190" s="20">
        <f>IF($J190="","",IF(INDEX('2. Fee register'!$L$4:$L$203,$J190)="","",INDEX('2. Fee register'!$L$4:$L$203,$J190)))</f>
      </c>
      <c r="I190" s="18">
        <f>IF($J190="","",INDEX('2. Fee register'!$M$4:$M$203,$J190)&amp;"")</f>
      </c>
      <c r="J190">
        <f>IFERROR(MATCH(181,'2. Fee register'!$O$4:$O$203,0),"")</f>
      </c>
    </row>
    <row r="191" spans="1:10" x14ac:dyDescent="0.25">
      <c r="A191" s="18">
        <f>IF($J191="","",182)</f>
      </c>
      <c r="B191" s="18">
        <f>IF($J191="","",INDEX('2. Fee register'!$A$4:$A$203,$J191)&amp;"")</f>
      </c>
      <c r="C191" s="18">
        <f>IF($J191="","",INDEX('2. Fee register'!$B$4:$B$203,$J191)&amp;"")</f>
      </c>
      <c r="D191" s="18">
        <f>IF($J191="","",INDEX('2. Fee register'!$D$4:$D$203,$J191)&amp;"")</f>
      </c>
      <c r="E191" s="18">
        <f>IF($J191="","",INDEX('2. Fee register'!$E$4:$E$203,$J191)&amp;"")</f>
      </c>
      <c r="F191" s="19">
        <f>IF($J191="","",INDEX('2. Fee register'!$J$4:$J$203,$J191))</f>
      </c>
      <c r="G191" s="18">
        <f>IF($J191="","",INDEX('2. Fee register'!$K$4:$K$203,$J191)&amp;"")</f>
      </c>
      <c r="H191" s="20">
        <f>IF($J191="","",IF(INDEX('2. Fee register'!$L$4:$L$203,$J191)="","",INDEX('2. Fee register'!$L$4:$L$203,$J191)))</f>
      </c>
      <c r="I191" s="18">
        <f>IF($J191="","",INDEX('2. Fee register'!$M$4:$M$203,$J191)&amp;"")</f>
      </c>
      <c r="J191">
        <f>IFERROR(MATCH(182,'2. Fee register'!$O$4:$O$203,0),"")</f>
      </c>
    </row>
    <row r="192" spans="1:10" x14ac:dyDescent="0.25">
      <c r="A192" s="18">
        <f>IF($J192="","",183)</f>
      </c>
      <c r="B192" s="18">
        <f>IF($J192="","",INDEX('2. Fee register'!$A$4:$A$203,$J192)&amp;"")</f>
      </c>
      <c r="C192" s="18">
        <f>IF($J192="","",INDEX('2. Fee register'!$B$4:$B$203,$J192)&amp;"")</f>
      </c>
      <c r="D192" s="18">
        <f>IF($J192="","",INDEX('2. Fee register'!$D$4:$D$203,$J192)&amp;"")</f>
      </c>
      <c r="E192" s="18">
        <f>IF($J192="","",INDEX('2. Fee register'!$E$4:$E$203,$J192)&amp;"")</f>
      </c>
      <c r="F192" s="19">
        <f>IF($J192="","",INDEX('2. Fee register'!$J$4:$J$203,$J192))</f>
      </c>
      <c r="G192" s="18">
        <f>IF($J192="","",INDEX('2. Fee register'!$K$4:$K$203,$J192)&amp;"")</f>
      </c>
      <c r="H192" s="20">
        <f>IF($J192="","",IF(INDEX('2. Fee register'!$L$4:$L$203,$J192)="","",INDEX('2. Fee register'!$L$4:$L$203,$J192)))</f>
      </c>
      <c r="I192" s="18">
        <f>IF($J192="","",INDEX('2. Fee register'!$M$4:$M$203,$J192)&amp;"")</f>
      </c>
      <c r="J192">
        <f>IFERROR(MATCH(183,'2. Fee register'!$O$4:$O$203,0),"")</f>
      </c>
    </row>
    <row r="193" spans="1:10" x14ac:dyDescent="0.25">
      <c r="A193" s="18">
        <f>IF($J193="","",184)</f>
      </c>
      <c r="B193" s="18">
        <f>IF($J193="","",INDEX('2. Fee register'!$A$4:$A$203,$J193)&amp;"")</f>
      </c>
      <c r="C193" s="18">
        <f>IF($J193="","",INDEX('2. Fee register'!$B$4:$B$203,$J193)&amp;"")</f>
      </c>
      <c r="D193" s="18">
        <f>IF($J193="","",INDEX('2. Fee register'!$D$4:$D$203,$J193)&amp;"")</f>
      </c>
      <c r="E193" s="18">
        <f>IF($J193="","",INDEX('2. Fee register'!$E$4:$E$203,$J193)&amp;"")</f>
      </c>
      <c r="F193" s="19">
        <f>IF($J193="","",INDEX('2. Fee register'!$J$4:$J$203,$J193))</f>
      </c>
      <c r="G193" s="18">
        <f>IF($J193="","",INDEX('2. Fee register'!$K$4:$K$203,$J193)&amp;"")</f>
      </c>
      <c r="H193" s="20">
        <f>IF($J193="","",IF(INDEX('2. Fee register'!$L$4:$L$203,$J193)="","",INDEX('2. Fee register'!$L$4:$L$203,$J193)))</f>
      </c>
      <c r="I193" s="18">
        <f>IF($J193="","",INDEX('2. Fee register'!$M$4:$M$203,$J193)&amp;"")</f>
      </c>
      <c r="J193">
        <f>IFERROR(MATCH(184,'2. Fee register'!$O$4:$O$203,0),"")</f>
      </c>
    </row>
    <row r="194" spans="1:10" x14ac:dyDescent="0.25">
      <c r="A194" s="18">
        <f>IF($J194="","",185)</f>
      </c>
      <c r="B194" s="18">
        <f>IF($J194="","",INDEX('2. Fee register'!$A$4:$A$203,$J194)&amp;"")</f>
      </c>
      <c r="C194" s="18">
        <f>IF($J194="","",INDEX('2. Fee register'!$B$4:$B$203,$J194)&amp;"")</f>
      </c>
      <c r="D194" s="18">
        <f>IF($J194="","",INDEX('2. Fee register'!$D$4:$D$203,$J194)&amp;"")</f>
      </c>
      <c r="E194" s="18">
        <f>IF($J194="","",INDEX('2. Fee register'!$E$4:$E$203,$J194)&amp;"")</f>
      </c>
      <c r="F194" s="19">
        <f>IF($J194="","",INDEX('2. Fee register'!$J$4:$J$203,$J194))</f>
      </c>
      <c r="G194" s="18">
        <f>IF($J194="","",INDEX('2. Fee register'!$K$4:$K$203,$J194)&amp;"")</f>
      </c>
      <c r="H194" s="20">
        <f>IF($J194="","",IF(INDEX('2. Fee register'!$L$4:$L$203,$J194)="","",INDEX('2. Fee register'!$L$4:$L$203,$J194)))</f>
      </c>
      <c r="I194" s="18">
        <f>IF($J194="","",INDEX('2. Fee register'!$M$4:$M$203,$J194)&amp;"")</f>
      </c>
      <c r="J194">
        <f>IFERROR(MATCH(185,'2. Fee register'!$O$4:$O$203,0),"")</f>
      </c>
    </row>
    <row r="195" spans="1:10" x14ac:dyDescent="0.25">
      <c r="A195" s="18">
        <f>IF($J195="","",186)</f>
      </c>
      <c r="B195" s="18">
        <f>IF($J195="","",INDEX('2. Fee register'!$A$4:$A$203,$J195)&amp;"")</f>
      </c>
      <c r="C195" s="18">
        <f>IF($J195="","",INDEX('2. Fee register'!$B$4:$B$203,$J195)&amp;"")</f>
      </c>
      <c r="D195" s="18">
        <f>IF($J195="","",INDEX('2. Fee register'!$D$4:$D$203,$J195)&amp;"")</f>
      </c>
      <c r="E195" s="18">
        <f>IF($J195="","",INDEX('2. Fee register'!$E$4:$E$203,$J195)&amp;"")</f>
      </c>
      <c r="F195" s="19">
        <f>IF($J195="","",INDEX('2. Fee register'!$J$4:$J$203,$J195))</f>
      </c>
      <c r="G195" s="18">
        <f>IF($J195="","",INDEX('2. Fee register'!$K$4:$K$203,$J195)&amp;"")</f>
      </c>
      <c r="H195" s="20">
        <f>IF($J195="","",IF(INDEX('2. Fee register'!$L$4:$L$203,$J195)="","",INDEX('2. Fee register'!$L$4:$L$203,$J195)))</f>
      </c>
      <c r="I195" s="18">
        <f>IF($J195="","",INDEX('2. Fee register'!$M$4:$M$203,$J195)&amp;"")</f>
      </c>
      <c r="J195">
        <f>IFERROR(MATCH(186,'2. Fee register'!$O$4:$O$203,0),"")</f>
      </c>
    </row>
    <row r="196" spans="1:10" x14ac:dyDescent="0.25">
      <c r="A196" s="18">
        <f>IF($J196="","",187)</f>
      </c>
      <c r="B196" s="18">
        <f>IF($J196="","",INDEX('2. Fee register'!$A$4:$A$203,$J196)&amp;"")</f>
      </c>
      <c r="C196" s="18">
        <f>IF($J196="","",INDEX('2. Fee register'!$B$4:$B$203,$J196)&amp;"")</f>
      </c>
      <c r="D196" s="18">
        <f>IF($J196="","",INDEX('2. Fee register'!$D$4:$D$203,$J196)&amp;"")</f>
      </c>
      <c r="E196" s="18">
        <f>IF($J196="","",INDEX('2. Fee register'!$E$4:$E$203,$J196)&amp;"")</f>
      </c>
      <c r="F196" s="19">
        <f>IF($J196="","",INDEX('2. Fee register'!$J$4:$J$203,$J196))</f>
      </c>
      <c r="G196" s="18">
        <f>IF($J196="","",INDEX('2. Fee register'!$K$4:$K$203,$J196)&amp;"")</f>
      </c>
      <c r="H196" s="20">
        <f>IF($J196="","",IF(INDEX('2. Fee register'!$L$4:$L$203,$J196)="","",INDEX('2. Fee register'!$L$4:$L$203,$J196)))</f>
      </c>
      <c r="I196" s="18">
        <f>IF($J196="","",INDEX('2. Fee register'!$M$4:$M$203,$J196)&amp;"")</f>
      </c>
      <c r="J196">
        <f>IFERROR(MATCH(187,'2. Fee register'!$O$4:$O$203,0),"")</f>
      </c>
    </row>
    <row r="197" spans="1:10" x14ac:dyDescent="0.25">
      <c r="A197" s="18">
        <f>IF($J197="","",188)</f>
      </c>
      <c r="B197" s="18">
        <f>IF($J197="","",INDEX('2. Fee register'!$A$4:$A$203,$J197)&amp;"")</f>
      </c>
      <c r="C197" s="18">
        <f>IF($J197="","",INDEX('2. Fee register'!$B$4:$B$203,$J197)&amp;"")</f>
      </c>
      <c r="D197" s="18">
        <f>IF($J197="","",INDEX('2. Fee register'!$D$4:$D$203,$J197)&amp;"")</f>
      </c>
      <c r="E197" s="18">
        <f>IF($J197="","",INDEX('2. Fee register'!$E$4:$E$203,$J197)&amp;"")</f>
      </c>
      <c r="F197" s="19">
        <f>IF($J197="","",INDEX('2. Fee register'!$J$4:$J$203,$J197))</f>
      </c>
      <c r="G197" s="18">
        <f>IF($J197="","",INDEX('2. Fee register'!$K$4:$K$203,$J197)&amp;"")</f>
      </c>
      <c r="H197" s="20">
        <f>IF($J197="","",IF(INDEX('2. Fee register'!$L$4:$L$203,$J197)="","",INDEX('2. Fee register'!$L$4:$L$203,$J197)))</f>
      </c>
      <c r="I197" s="18">
        <f>IF($J197="","",INDEX('2. Fee register'!$M$4:$M$203,$J197)&amp;"")</f>
      </c>
      <c r="J197">
        <f>IFERROR(MATCH(188,'2. Fee register'!$O$4:$O$203,0),"")</f>
      </c>
    </row>
    <row r="198" spans="1:10" x14ac:dyDescent="0.25">
      <c r="A198" s="18">
        <f>IF($J198="","",189)</f>
      </c>
      <c r="B198" s="18">
        <f>IF($J198="","",INDEX('2. Fee register'!$A$4:$A$203,$J198)&amp;"")</f>
      </c>
      <c r="C198" s="18">
        <f>IF($J198="","",INDEX('2. Fee register'!$B$4:$B$203,$J198)&amp;"")</f>
      </c>
      <c r="D198" s="18">
        <f>IF($J198="","",INDEX('2. Fee register'!$D$4:$D$203,$J198)&amp;"")</f>
      </c>
      <c r="E198" s="18">
        <f>IF($J198="","",INDEX('2. Fee register'!$E$4:$E$203,$J198)&amp;"")</f>
      </c>
      <c r="F198" s="19">
        <f>IF($J198="","",INDEX('2. Fee register'!$J$4:$J$203,$J198))</f>
      </c>
      <c r="G198" s="18">
        <f>IF($J198="","",INDEX('2. Fee register'!$K$4:$K$203,$J198)&amp;"")</f>
      </c>
      <c r="H198" s="20">
        <f>IF($J198="","",IF(INDEX('2. Fee register'!$L$4:$L$203,$J198)="","",INDEX('2. Fee register'!$L$4:$L$203,$J198)))</f>
      </c>
      <c r="I198" s="18">
        <f>IF($J198="","",INDEX('2. Fee register'!$M$4:$M$203,$J198)&amp;"")</f>
      </c>
      <c r="J198">
        <f>IFERROR(MATCH(189,'2. Fee register'!$O$4:$O$203,0),"")</f>
      </c>
    </row>
    <row r="199" spans="1:10" x14ac:dyDescent="0.25">
      <c r="A199" s="18">
        <f>IF($J199="","",190)</f>
      </c>
      <c r="B199" s="18">
        <f>IF($J199="","",INDEX('2. Fee register'!$A$4:$A$203,$J199)&amp;"")</f>
      </c>
      <c r="C199" s="18">
        <f>IF($J199="","",INDEX('2. Fee register'!$B$4:$B$203,$J199)&amp;"")</f>
      </c>
      <c r="D199" s="18">
        <f>IF($J199="","",INDEX('2. Fee register'!$D$4:$D$203,$J199)&amp;"")</f>
      </c>
      <c r="E199" s="18">
        <f>IF($J199="","",INDEX('2. Fee register'!$E$4:$E$203,$J199)&amp;"")</f>
      </c>
      <c r="F199" s="19">
        <f>IF($J199="","",INDEX('2. Fee register'!$J$4:$J$203,$J199))</f>
      </c>
      <c r="G199" s="18">
        <f>IF($J199="","",INDEX('2. Fee register'!$K$4:$K$203,$J199)&amp;"")</f>
      </c>
      <c r="H199" s="20">
        <f>IF($J199="","",IF(INDEX('2. Fee register'!$L$4:$L$203,$J199)="","",INDEX('2. Fee register'!$L$4:$L$203,$J199)))</f>
      </c>
      <c r="I199" s="18">
        <f>IF($J199="","",INDEX('2. Fee register'!$M$4:$M$203,$J199)&amp;"")</f>
      </c>
      <c r="J199">
        <f>IFERROR(MATCH(190,'2. Fee register'!$O$4:$O$203,0),"")</f>
      </c>
    </row>
    <row r="200" spans="1:10" x14ac:dyDescent="0.25">
      <c r="A200" s="18">
        <f>IF($J200="","",191)</f>
      </c>
      <c r="B200" s="18">
        <f>IF($J200="","",INDEX('2. Fee register'!$A$4:$A$203,$J200)&amp;"")</f>
      </c>
      <c r="C200" s="18">
        <f>IF($J200="","",INDEX('2. Fee register'!$B$4:$B$203,$J200)&amp;"")</f>
      </c>
      <c r="D200" s="18">
        <f>IF($J200="","",INDEX('2. Fee register'!$D$4:$D$203,$J200)&amp;"")</f>
      </c>
      <c r="E200" s="18">
        <f>IF($J200="","",INDEX('2. Fee register'!$E$4:$E$203,$J200)&amp;"")</f>
      </c>
      <c r="F200" s="19">
        <f>IF($J200="","",INDEX('2. Fee register'!$J$4:$J$203,$J200))</f>
      </c>
      <c r="G200" s="18">
        <f>IF($J200="","",INDEX('2. Fee register'!$K$4:$K$203,$J200)&amp;"")</f>
      </c>
      <c r="H200" s="20">
        <f>IF($J200="","",IF(INDEX('2. Fee register'!$L$4:$L$203,$J200)="","",INDEX('2. Fee register'!$L$4:$L$203,$J200)))</f>
      </c>
      <c r="I200" s="18">
        <f>IF($J200="","",INDEX('2. Fee register'!$M$4:$M$203,$J200)&amp;"")</f>
      </c>
      <c r="J200">
        <f>IFERROR(MATCH(191,'2. Fee register'!$O$4:$O$203,0),"")</f>
      </c>
    </row>
    <row r="201" spans="1:10" x14ac:dyDescent="0.25">
      <c r="A201" s="18">
        <f>IF($J201="","",192)</f>
      </c>
      <c r="B201" s="18">
        <f>IF($J201="","",INDEX('2. Fee register'!$A$4:$A$203,$J201)&amp;"")</f>
      </c>
      <c r="C201" s="18">
        <f>IF($J201="","",INDEX('2. Fee register'!$B$4:$B$203,$J201)&amp;"")</f>
      </c>
      <c r="D201" s="18">
        <f>IF($J201="","",INDEX('2. Fee register'!$D$4:$D$203,$J201)&amp;"")</f>
      </c>
      <c r="E201" s="18">
        <f>IF($J201="","",INDEX('2. Fee register'!$E$4:$E$203,$J201)&amp;"")</f>
      </c>
      <c r="F201" s="19">
        <f>IF($J201="","",INDEX('2. Fee register'!$J$4:$J$203,$J201))</f>
      </c>
      <c r="G201" s="18">
        <f>IF($J201="","",INDEX('2. Fee register'!$K$4:$K$203,$J201)&amp;"")</f>
      </c>
      <c r="H201" s="20">
        <f>IF($J201="","",IF(INDEX('2. Fee register'!$L$4:$L$203,$J201)="","",INDEX('2. Fee register'!$L$4:$L$203,$J201)))</f>
      </c>
      <c r="I201" s="18">
        <f>IF($J201="","",INDEX('2. Fee register'!$M$4:$M$203,$J201)&amp;"")</f>
      </c>
      <c r="J201">
        <f>IFERROR(MATCH(192,'2. Fee register'!$O$4:$O$203,0),"")</f>
      </c>
    </row>
    <row r="202" spans="1:10" x14ac:dyDescent="0.25">
      <c r="A202" s="18">
        <f>IF($J202="","",193)</f>
      </c>
      <c r="B202" s="18">
        <f>IF($J202="","",INDEX('2. Fee register'!$A$4:$A$203,$J202)&amp;"")</f>
      </c>
      <c r="C202" s="18">
        <f>IF($J202="","",INDEX('2. Fee register'!$B$4:$B$203,$J202)&amp;"")</f>
      </c>
      <c r="D202" s="18">
        <f>IF($J202="","",INDEX('2. Fee register'!$D$4:$D$203,$J202)&amp;"")</f>
      </c>
      <c r="E202" s="18">
        <f>IF($J202="","",INDEX('2. Fee register'!$E$4:$E$203,$J202)&amp;"")</f>
      </c>
      <c r="F202" s="19">
        <f>IF($J202="","",INDEX('2. Fee register'!$J$4:$J$203,$J202))</f>
      </c>
      <c r="G202" s="18">
        <f>IF($J202="","",INDEX('2. Fee register'!$K$4:$K$203,$J202)&amp;"")</f>
      </c>
      <c r="H202" s="20">
        <f>IF($J202="","",IF(INDEX('2. Fee register'!$L$4:$L$203,$J202)="","",INDEX('2. Fee register'!$L$4:$L$203,$J202)))</f>
      </c>
      <c r="I202" s="18">
        <f>IF($J202="","",INDEX('2. Fee register'!$M$4:$M$203,$J202)&amp;"")</f>
      </c>
      <c r="J202">
        <f>IFERROR(MATCH(193,'2. Fee register'!$O$4:$O$203,0),"")</f>
      </c>
    </row>
    <row r="203" spans="1:10" x14ac:dyDescent="0.25">
      <c r="A203" s="18">
        <f>IF($J203="","",194)</f>
      </c>
      <c r="B203" s="18">
        <f>IF($J203="","",INDEX('2. Fee register'!$A$4:$A$203,$J203)&amp;"")</f>
      </c>
      <c r="C203" s="18">
        <f>IF($J203="","",INDEX('2. Fee register'!$B$4:$B$203,$J203)&amp;"")</f>
      </c>
      <c r="D203" s="18">
        <f>IF($J203="","",INDEX('2. Fee register'!$D$4:$D$203,$J203)&amp;"")</f>
      </c>
      <c r="E203" s="18">
        <f>IF($J203="","",INDEX('2. Fee register'!$E$4:$E$203,$J203)&amp;"")</f>
      </c>
      <c r="F203" s="19">
        <f>IF($J203="","",INDEX('2. Fee register'!$J$4:$J$203,$J203))</f>
      </c>
      <c r="G203" s="18">
        <f>IF($J203="","",INDEX('2. Fee register'!$K$4:$K$203,$J203)&amp;"")</f>
      </c>
      <c r="H203" s="20">
        <f>IF($J203="","",IF(INDEX('2. Fee register'!$L$4:$L$203,$J203)="","",INDEX('2. Fee register'!$L$4:$L$203,$J203)))</f>
      </c>
      <c r="I203" s="18">
        <f>IF($J203="","",INDEX('2. Fee register'!$M$4:$M$203,$J203)&amp;"")</f>
      </c>
      <c r="J203">
        <f>IFERROR(MATCH(194,'2. Fee register'!$O$4:$O$203,0),"")</f>
      </c>
    </row>
    <row r="204" spans="1:10" x14ac:dyDescent="0.25">
      <c r="A204" s="18">
        <f>IF($J204="","",195)</f>
      </c>
      <c r="B204" s="18">
        <f>IF($J204="","",INDEX('2. Fee register'!$A$4:$A$203,$J204)&amp;"")</f>
      </c>
      <c r="C204" s="18">
        <f>IF($J204="","",INDEX('2. Fee register'!$B$4:$B$203,$J204)&amp;"")</f>
      </c>
      <c r="D204" s="18">
        <f>IF($J204="","",INDEX('2. Fee register'!$D$4:$D$203,$J204)&amp;"")</f>
      </c>
      <c r="E204" s="18">
        <f>IF($J204="","",INDEX('2. Fee register'!$E$4:$E$203,$J204)&amp;"")</f>
      </c>
      <c r="F204" s="19">
        <f>IF($J204="","",INDEX('2. Fee register'!$J$4:$J$203,$J204))</f>
      </c>
      <c r="G204" s="18">
        <f>IF($J204="","",INDEX('2. Fee register'!$K$4:$K$203,$J204)&amp;"")</f>
      </c>
      <c r="H204" s="20">
        <f>IF($J204="","",IF(INDEX('2. Fee register'!$L$4:$L$203,$J204)="","",INDEX('2. Fee register'!$L$4:$L$203,$J204)))</f>
      </c>
      <c r="I204" s="18">
        <f>IF($J204="","",INDEX('2. Fee register'!$M$4:$M$203,$J204)&amp;"")</f>
      </c>
      <c r="J204">
        <f>IFERROR(MATCH(195,'2. Fee register'!$O$4:$O$203,0),"")</f>
      </c>
    </row>
    <row r="205" spans="1:10" x14ac:dyDescent="0.25">
      <c r="A205" s="18">
        <f>IF($J205="","",196)</f>
      </c>
      <c r="B205" s="18">
        <f>IF($J205="","",INDEX('2. Fee register'!$A$4:$A$203,$J205)&amp;"")</f>
      </c>
      <c r="C205" s="18">
        <f>IF($J205="","",INDEX('2. Fee register'!$B$4:$B$203,$J205)&amp;"")</f>
      </c>
      <c r="D205" s="18">
        <f>IF($J205="","",INDEX('2. Fee register'!$D$4:$D$203,$J205)&amp;"")</f>
      </c>
      <c r="E205" s="18">
        <f>IF($J205="","",INDEX('2. Fee register'!$E$4:$E$203,$J205)&amp;"")</f>
      </c>
      <c r="F205" s="19">
        <f>IF($J205="","",INDEX('2. Fee register'!$J$4:$J$203,$J205))</f>
      </c>
      <c r="G205" s="18">
        <f>IF($J205="","",INDEX('2. Fee register'!$K$4:$K$203,$J205)&amp;"")</f>
      </c>
      <c r="H205" s="20">
        <f>IF($J205="","",IF(INDEX('2. Fee register'!$L$4:$L$203,$J205)="","",INDEX('2. Fee register'!$L$4:$L$203,$J205)))</f>
      </c>
      <c r="I205" s="18">
        <f>IF($J205="","",INDEX('2. Fee register'!$M$4:$M$203,$J205)&amp;"")</f>
      </c>
      <c r="J205">
        <f>IFERROR(MATCH(196,'2. Fee register'!$O$4:$O$203,0),"")</f>
      </c>
    </row>
    <row r="206" spans="1:10" x14ac:dyDescent="0.25">
      <c r="A206" s="18">
        <f>IF($J206="","",197)</f>
      </c>
      <c r="B206" s="18">
        <f>IF($J206="","",INDEX('2. Fee register'!$A$4:$A$203,$J206)&amp;"")</f>
      </c>
      <c r="C206" s="18">
        <f>IF($J206="","",INDEX('2. Fee register'!$B$4:$B$203,$J206)&amp;"")</f>
      </c>
      <c r="D206" s="18">
        <f>IF($J206="","",INDEX('2. Fee register'!$D$4:$D$203,$J206)&amp;"")</f>
      </c>
      <c r="E206" s="18">
        <f>IF($J206="","",INDEX('2. Fee register'!$E$4:$E$203,$J206)&amp;"")</f>
      </c>
      <c r="F206" s="19">
        <f>IF($J206="","",INDEX('2. Fee register'!$J$4:$J$203,$J206))</f>
      </c>
      <c r="G206" s="18">
        <f>IF($J206="","",INDEX('2. Fee register'!$K$4:$K$203,$J206)&amp;"")</f>
      </c>
      <c r="H206" s="20">
        <f>IF($J206="","",IF(INDEX('2. Fee register'!$L$4:$L$203,$J206)="","",INDEX('2. Fee register'!$L$4:$L$203,$J206)))</f>
      </c>
      <c r="I206" s="18">
        <f>IF($J206="","",INDEX('2. Fee register'!$M$4:$M$203,$J206)&amp;"")</f>
      </c>
      <c r="J206">
        <f>IFERROR(MATCH(197,'2. Fee register'!$O$4:$O$203,0),"")</f>
      </c>
    </row>
    <row r="207" spans="1:10" x14ac:dyDescent="0.25">
      <c r="A207" s="18">
        <f>IF($J207="","",198)</f>
      </c>
      <c r="B207" s="18">
        <f>IF($J207="","",INDEX('2. Fee register'!$A$4:$A$203,$J207)&amp;"")</f>
      </c>
      <c r="C207" s="18">
        <f>IF($J207="","",INDEX('2. Fee register'!$B$4:$B$203,$J207)&amp;"")</f>
      </c>
      <c r="D207" s="18">
        <f>IF($J207="","",INDEX('2. Fee register'!$D$4:$D$203,$J207)&amp;"")</f>
      </c>
      <c r="E207" s="18">
        <f>IF($J207="","",INDEX('2. Fee register'!$E$4:$E$203,$J207)&amp;"")</f>
      </c>
      <c r="F207" s="19">
        <f>IF($J207="","",INDEX('2. Fee register'!$J$4:$J$203,$J207))</f>
      </c>
      <c r="G207" s="18">
        <f>IF($J207="","",INDEX('2. Fee register'!$K$4:$K$203,$J207)&amp;"")</f>
      </c>
      <c r="H207" s="20">
        <f>IF($J207="","",IF(INDEX('2. Fee register'!$L$4:$L$203,$J207)="","",INDEX('2. Fee register'!$L$4:$L$203,$J207)))</f>
      </c>
      <c r="I207" s="18">
        <f>IF($J207="","",INDEX('2. Fee register'!$M$4:$M$203,$J207)&amp;"")</f>
      </c>
      <c r="J207">
        <f>IFERROR(MATCH(198,'2. Fee register'!$O$4:$O$203,0),"")</f>
      </c>
    </row>
    <row r="208" spans="1:10" x14ac:dyDescent="0.25">
      <c r="A208" s="18">
        <f>IF($J208="","",199)</f>
      </c>
      <c r="B208" s="18">
        <f>IF($J208="","",INDEX('2. Fee register'!$A$4:$A$203,$J208)&amp;"")</f>
      </c>
      <c r="C208" s="18">
        <f>IF($J208="","",INDEX('2. Fee register'!$B$4:$B$203,$J208)&amp;"")</f>
      </c>
      <c r="D208" s="18">
        <f>IF($J208="","",INDEX('2. Fee register'!$D$4:$D$203,$J208)&amp;"")</f>
      </c>
      <c r="E208" s="18">
        <f>IF($J208="","",INDEX('2. Fee register'!$E$4:$E$203,$J208)&amp;"")</f>
      </c>
      <c r="F208" s="19">
        <f>IF($J208="","",INDEX('2. Fee register'!$J$4:$J$203,$J208))</f>
      </c>
      <c r="G208" s="18">
        <f>IF($J208="","",INDEX('2. Fee register'!$K$4:$K$203,$J208)&amp;"")</f>
      </c>
      <c r="H208" s="20">
        <f>IF($J208="","",IF(INDEX('2. Fee register'!$L$4:$L$203,$J208)="","",INDEX('2. Fee register'!$L$4:$L$203,$J208)))</f>
      </c>
      <c r="I208" s="18">
        <f>IF($J208="","",INDEX('2. Fee register'!$M$4:$M$203,$J208)&amp;"")</f>
      </c>
      <c r="J208">
        <f>IFERROR(MATCH(199,'2. Fee register'!$O$4:$O$203,0),"")</f>
      </c>
    </row>
    <row r="209" spans="1:10" x14ac:dyDescent="0.25">
      <c r="A209" s="18">
        <f>IF($J209="","",200)</f>
      </c>
      <c r="B209" s="18">
        <f>IF($J209="","",INDEX('2. Fee register'!$A$4:$A$203,$J209)&amp;"")</f>
      </c>
      <c r="C209" s="18">
        <f>IF($J209="","",INDEX('2. Fee register'!$B$4:$B$203,$J209)&amp;"")</f>
      </c>
      <c r="D209" s="18">
        <f>IF($J209="","",INDEX('2. Fee register'!$D$4:$D$203,$J209)&amp;"")</f>
      </c>
      <c r="E209" s="18">
        <f>IF($J209="","",INDEX('2. Fee register'!$E$4:$E$203,$J209)&amp;"")</f>
      </c>
      <c r="F209" s="19">
        <f>IF($J209="","",INDEX('2. Fee register'!$J$4:$J$203,$J209))</f>
      </c>
      <c r="G209" s="18">
        <f>IF($J209="","",INDEX('2. Fee register'!$K$4:$K$203,$J209)&amp;"")</f>
      </c>
      <c r="H209" s="20">
        <f>IF($J209="","",IF(INDEX('2. Fee register'!$L$4:$L$203,$J209)="","",INDEX('2. Fee register'!$L$4:$L$203,$J209)))</f>
      </c>
      <c r="I209" s="18">
        <f>IF($J209="","",INDEX('2. Fee register'!$M$4:$M$203,$J209)&amp;"")</f>
      </c>
      <c r="J209">
        <f>IFERROR(MATCH(200,'2. Fee register'!$O$4:$O$203,0),"")</f>
      </c>
    </row>
  </sheetData>
  <mergeCells count="6">
    <mergeCell ref="A1:I1"/>
    <mergeCell ref="A3:C3"/>
    <mergeCell ref="A4:C4"/>
    <mergeCell ref="A5:C5"/>
    <mergeCell ref="A6:C6"/>
    <mergeCell ref="A7:C7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workbookViewId="0" showGridLines="0"/>
  </sheetViews>
  <sheetFormatPr defaultRowHeight="15" outlineLevelRow="0" outlineLevelCol="0" x14ac:dyDescent="55"/>
  <cols>
    <col min="1" max="1" width="26" customWidth="1"/>
    <col min="2" max="4" width="22" customWidth="1"/>
    <col min="5" max="5" width="4" customWidth="1"/>
    <col min="6" max="6" width="8" customWidth="1"/>
  </cols>
  <sheetData>
    <row r="1" spans="1:6" x14ac:dyDescent="0.25">
      <c r="A1" s="21">
        <f>'1. Setup'!$B$4</f>
      </c>
      <c r="B1" s="21"/>
      <c r="C1" s="21"/>
      <c r="D1" s="21"/>
      <c r="F1" s="22">
        <f>IFERROR(MATCH($B$3,'2. Fee register'!$A$4:$A$203,0),"")</f>
      </c>
    </row>
    <row r="2" spans="1:4" x14ac:dyDescent="0.25">
      <c r="A2" s="23">
        <f>'1. Setup'!$B$5</f>
      </c>
      <c r="B2" s="23"/>
      <c r="C2" s="23"/>
      <c r="D2" s="23"/>
    </row>
    <row r="3" spans="1:3" x14ac:dyDescent="0.25">
      <c r="A3" s="24" t="s">
        <v>78</v>
      </c>
      <c r="B3" s="4">
        <v>2</v>
      </c>
      <c r="C3" s="25">
        <f>IF($F$1="","Roll no. not found on sheet 2","")</f>
      </c>
    </row>
    <row r="5" ht="22" customHeight="1" spans="1:4" x14ac:dyDescent="0.25">
      <c r="A5" s="26" t="s">
        <v>79</v>
      </c>
      <c r="B5" s="26"/>
      <c r="C5" s="26"/>
      <c r="D5" s="26"/>
    </row>
    <row r="7" spans="1:4" x14ac:dyDescent="0.25">
      <c r="A7" s="27">
        <f>"Date: "&amp;TEXT(TODAY(),"dd mmm yyyy")</f>
      </c>
      <c r="B7" s="27"/>
      <c r="C7" s="27"/>
      <c r="D7" s="27"/>
    </row>
    <row r="9" spans="1:4" x14ac:dyDescent="0.25">
      <c r="A9" s="28">
        <f>IF($F$1="","","To the parent / guardian of "&amp;INDEX('2. Fee register'!$B$4:$B$203,$F$1)&amp;" ("&amp;INDEX('2. Fee register'!$D$4:$D$203,$F$1)&amp;", roll no. "&amp;INDEX('2. Fee register'!$A$4:$A$203,$F$1)&amp;")")</f>
      </c>
      <c r="B9" s="28"/>
      <c r="C9" s="28"/>
      <c r="D9" s="28"/>
    </row>
    <row r="11" ht="48" customHeight="1" spans="1:4" x14ac:dyDescent="0.25">
      <c r="A11" s="27">
        <f>IF($F$1="","","Dear parent, our records show that Rs "&amp;TEXT(INDEX('2. Fee register'!$J$4:$J$203,$F$1),"#,##0")&amp;" is still unpaid for "&amp;'1. Setup'!$B$6&amp;IF(INDEX('2. Fee register'!$G$4:$G$203,$F$1)&gt;0,", including previous dues of Rs "&amp;TEXT(INDEX('2. Fee register'!$G$4:$G$203,$F$1),"#,##0"),"")&amp;". We would be grateful if you could pay it by "&amp;TEXT('1. Setup'!$B$7,"dd mmm yyyy")&amp;".")</f>
      </c>
      <c r="B11" s="27"/>
      <c r="C11" s="27"/>
      <c r="D11" s="27"/>
    </row>
    <row r="13" ht="34" customHeight="1" spans="1:4" x14ac:dyDescent="0.25">
      <c r="A13" s="27">
        <f>"You can pay at the bank with your fee challan, or at the school office ("&amp;'1. Setup'!$B$8&amp;"). If you have already paid, please ignore this notice and keep your receipt."</f>
      </c>
      <c r="B13" s="27"/>
      <c r="C13" s="27"/>
      <c r="D13" s="27"/>
    </row>
    <row r="15" ht="20" customHeight="1" spans="1:4" x14ac:dyDescent="0.25">
      <c r="A15" s="27" t="s">
        <v>80</v>
      </c>
      <c r="B15" s="27"/>
      <c r="C15" s="27"/>
      <c r="D15" s="27"/>
    </row>
    <row r="17" spans="1:4" x14ac:dyDescent="0.25">
      <c r="A17" s="27" t="s">
        <v>81</v>
      </c>
      <c r="B17" s="27"/>
      <c r="C17" s="27"/>
      <c r="D17" s="27"/>
    </row>
    <row r="20" spans="1:4" x14ac:dyDescent="0.25">
      <c r="A20" s="28">
        <f>'1. Setup'!$B$9</f>
      </c>
      <c r="B20" s="28"/>
      <c r="C20" s="28"/>
      <c r="D20" s="28"/>
    </row>
    <row r="21" spans="1:4" x14ac:dyDescent="0.25">
      <c r="A21" s="29">
        <f>'1. Setup'!$B$4</f>
      </c>
      <c r="B21" s="29"/>
      <c r="C21" s="29"/>
      <c r="D21" s="29"/>
    </row>
    <row r="24" spans="1:4" x14ac:dyDescent="0.25">
      <c r="A24" s="30" t="s">
        <v>82</v>
      </c>
      <c r="B24" s="30"/>
      <c r="C24" s="30"/>
      <c r="D24" s="30"/>
    </row>
  </sheetData>
  <mergeCells count="12">
    <mergeCell ref="A1:D1"/>
    <mergeCell ref="A2:D2"/>
    <mergeCell ref="A5:D5"/>
    <mergeCell ref="A7:D7"/>
    <mergeCell ref="A9:D9"/>
    <mergeCell ref="A11:D11"/>
    <mergeCell ref="A13:D13"/>
    <mergeCell ref="A15:D15"/>
    <mergeCell ref="A17:D17"/>
    <mergeCell ref="A20:D20"/>
    <mergeCell ref="A21:D21"/>
    <mergeCell ref="A24:D24"/>
  </mergeCells>
  <printOptions horizontalCentered="1"/>
  <pageMargins left="0.6" right="0.6" top="0.6" bottom="0.6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1. Setup</vt:lpstr>
      <vt:lpstr>2. Fee register</vt:lpstr>
      <vt:lpstr>3. Defaulter list</vt:lpstr>
      <vt:lpstr>4. Reminder letter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Okulium (okulium.pk)</dc:creator>
  <dc:title>School fee defaulter list</dc:title>
  <dc:subject/>
  <dc:description/>
  <cp:keywords/>
  <cp:category/>
  <cp:lastModifiedBy>Unknown</cp:lastModifiedBy>
  <dcterms:created xsi:type="dcterms:W3CDTF">2026-10-15T06:13:39Z</dcterms:created>
  <dcterms:modified xsi:type="dcterms:W3CDTF">2026-10-15T06:13:39Z</dcterms:modified>
</cp:coreProperties>
</file>